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20" windowWidth="19440" windowHeight="12075" tabRatio="671"/>
  </bookViews>
  <sheets>
    <sheet name="Méthodologie" sheetId="12" r:id="rId1"/>
    <sheet name="Par Territoire" sheetId="29" r:id="rId2"/>
    <sheet name="Analyse tous territoires" sheetId="28" r:id="rId3"/>
    <sheet name="Feuil4" sheetId="30" state="hidden" r:id="rId4"/>
  </sheets>
  <definedNames>
    <definedName name="nom" localSheetId="2">#REF!</definedName>
    <definedName name="nom" localSheetId="1">#REF!</definedName>
    <definedName name="nom">#REF!</definedName>
    <definedName name="Nombis" localSheetId="2">#REF!</definedName>
    <definedName name="Nombis" localSheetId="1">#REF!</definedName>
    <definedName name="Nombis">#REF!</definedName>
    <definedName name="terr" localSheetId="2">#REF!</definedName>
    <definedName name="terr" localSheetId="1">#REF!</definedName>
    <definedName name="terr">#REF!</definedName>
    <definedName name="_xlnm.Print_Area" localSheetId="2">'Analyse tous territoires'!$A:$N</definedName>
    <definedName name="_xlnm.Print_Area" localSheetId="1">'Par Territoire'!$A:$N</definedName>
  </definedNames>
  <calcPr calcId="145621"/>
</workbook>
</file>

<file path=xl/calcChain.xml><?xml version="1.0" encoding="utf-8"?>
<calcChain xmlns="http://schemas.openxmlformats.org/spreadsheetml/2006/main">
  <c r="H72" i="29" l="1"/>
  <c r="D200" i="29" l="1"/>
  <c r="C200" i="29"/>
  <c r="B200" i="29"/>
  <c r="I199" i="29"/>
  <c r="H199" i="29"/>
  <c r="G199" i="29"/>
  <c r="F199" i="29"/>
  <c r="D199" i="29"/>
  <c r="C199" i="29"/>
  <c r="B199" i="29"/>
  <c r="I198" i="29"/>
  <c r="H198" i="29"/>
  <c r="G198" i="29"/>
  <c r="F198" i="29"/>
  <c r="D198" i="29"/>
  <c r="C198" i="29"/>
  <c r="B198" i="29"/>
  <c r="I197" i="29"/>
  <c r="H197" i="29"/>
  <c r="G197" i="29"/>
  <c r="F197" i="29"/>
  <c r="D197" i="29"/>
  <c r="C197" i="29"/>
  <c r="B197" i="29"/>
  <c r="I196" i="29"/>
  <c r="H196" i="29"/>
  <c r="G196" i="29"/>
  <c r="F196" i="29"/>
  <c r="D196" i="29"/>
  <c r="C196" i="29"/>
  <c r="B196" i="29"/>
  <c r="I195" i="29"/>
  <c r="H195" i="29"/>
  <c r="G195" i="29"/>
  <c r="F195" i="29"/>
  <c r="D195" i="29"/>
  <c r="C195" i="29"/>
  <c r="B195" i="29"/>
  <c r="I194" i="29"/>
  <c r="H194" i="29"/>
  <c r="G194" i="29"/>
  <c r="F194" i="29"/>
  <c r="D194" i="29"/>
  <c r="C194" i="29"/>
  <c r="B194" i="29"/>
  <c r="I193" i="29"/>
  <c r="H193" i="29"/>
  <c r="G193" i="29"/>
  <c r="F193" i="29"/>
  <c r="D193" i="29"/>
  <c r="C193" i="29"/>
  <c r="B193" i="29"/>
  <c r="I192" i="29"/>
  <c r="H192" i="29"/>
  <c r="G192" i="29"/>
  <c r="F192" i="29"/>
  <c r="D192" i="29"/>
  <c r="C192" i="29"/>
  <c r="B192" i="29"/>
  <c r="I191" i="29"/>
  <c r="H191" i="29"/>
  <c r="G191" i="29"/>
  <c r="F191" i="29"/>
  <c r="D191" i="29"/>
  <c r="C191" i="29"/>
  <c r="B191" i="29"/>
  <c r="I190" i="29"/>
  <c r="H190" i="29"/>
  <c r="G190" i="29"/>
  <c r="F190" i="29"/>
  <c r="D190" i="29"/>
  <c r="C190" i="29"/>
  <c r="B190" i="29"/>
  <c r="I189" i="29"/>
  <c r="H189" i="29"/>
  <c r="G189" i="29"/>
  <c r="F189" i="29"/>
  <c r="D189" i="29"/>
  <c r="C189" i="29"/>
  <c r="B189" i="29"/>
  <c r="I188" i="29"/>
  <c r="H188" i="29"/>
  <c r="G188" i="29"/>
  <c r="F188" i="29"/>
  <c r="D188" i="29"/>
  <c r="C188" i="29"/>
  <c r="B188" i="29"/>
  <c r="I184" i="29"/>
  <c r="F184" i="29"/>
  <c r="I182" i="29"/>
  <c r="F182" i="29"/>
  <c r="I180" i="29"/>
  <c r="F180" i="29"/>
  <c r="I178" i="29"/>
  <c r="F178" i="29"/>
  <c r="J177" i="29"/>
  <c r="I176" i="29" s="1"/>
  <c r="I177" i="29"/>
  <c r="G177" i="29"/>
  <c r="F176" i="29" s="1"/>
  <c r="F177" i="29"/>
  <c r="O154" i="29"/>
  <c r="G154" i="29"/>
  <c r="F154" i="29"/>
  <c r="E154" i="29"/>
  <c r="D154" i="29"/>
  <c r="O153" i="29"/>
  <c r="G153" i="29"/>
  <c r="F153" i="29"/>
  <c r="E153" i="29"/>
  <c r="D153" i="29"/>
  <c r="O152" i="29"/>
  <c r="G152" i="29"/>
  <c r="F152" i="29"/>
  <c r="E152" i="29"/>
  <c r="D152" i="29"/>
  <c r="O151" i="29"/>
  <c r="G151" i="29"/>
  <c r="F151" i="29"/>
  <c r="E151" i="29"/>
  <c r="D151" i="29"/>
  <c r="O150" i="29"/>
  <c r="G150" i="29"/>
  <c r="F150" i="29"/>
  <c r="E150" i="29"/>
  <c r="D150" i="29"/>
  <c r="I145" i="29"/>
  <c r="F145" i="29"/>
  <c r="G143" i="29"/>
  <c r="F143" i="29"/>
  <c r="E143" i="29"/>
  <c r="D143" i="29"/>
  <c r="G142" i="29"/>
  <c r="F142" i="29"/>
  <c r="E142" i="29"/>
  <c r="D142" i="29"/>
  <c r="G141" i="29"/>
  <c r="F141" i="29"/>
  <c r="E141" i="29"/>
  <c r="D141" i="29"/>
  <c r="G140" i="29"/>
  <c r="F140" i="29"/>
  <c r="E140" i="29"/>
  <c r="D140" i="29"/>
  <c r="G139" i="29"/>
  <c r="F139" i="29"/>
  <c r="E139" i="29"/>
  <c r="D139" i="29"/>
  <c r="C124" i="29"/>
  <c r="B124" i="29"/>
  <c r="E123" i="29"/>
  <c r="D123" i="29"/>
  <c r="C123" i="29"/>
  <c r="B123" i="29"/>
  <c r="E122" i="29"/>
  <c r="D122" i="29"/>
  <c r="C122" i="29"/>
  <c r="B122" i="29"/>
  <c r="E121" i="29"/>
  <c r="D121" i="29"/>
  <c r="C121" i="29"/>
  <c r="B121" i="29"/>
  <c r="E120" i="29"/>
  <c r="D120" i="29"/>
  <c r="C120" i="29"/>
  <c r="B120" i="29"/>
  <c r="E119" i="29"/>
  <c r="D119" i="29"/>
  <c r="C119" i="29"/>
  <c r="B119" i="29"/>
  <c r="E118" i="29"/>
  <c r="D118" i="29"/>
  <c r="C118" i="29"/>
  <c r="B118" i="29"/>
  <c r="E117" i="29"/>
  <c r="D117" i="29"/>
  <c r="C117" i="29"/>
  <c r="B117" i="29"/>
  <c r="M108" i="29"/>
  <c r="L108" i="29"/>
  <c r="K108" i="29"/>
  <c r="J108" i="29"/>
  <c r="M107" i="29"/>
  <c r="L107" i="29"/>
  <c r="K107" i="29"/>
  <c r="J107" i="29"/>
  <c r="M106" i="29"/>
  <c r="L106" i="29"/>
  <c r="K106" i="29"/>
  <c r="J106" i="29"/>
  <c r="M105" i="29"/>
  <c r="L105" i="29"/>
  <c r="K105" i="29"/>
  <c r="J105" i="29"/>
  <c r="M104" i="29"/>
  <c r="L104" i="29"/>
  <c r="K104" i="29"/>
  <c r="J104" i="29"/>
  <c r="M103" i="29"/>
  <c r="L103" i="29"/>
  <c r="K103" i="29"/>
  <c r="J103" i="29"/>
  <c r="M102" i="29"/>
  <c r="L102" i="29"/>
  <c r="K102" i="29"/>
  <c r="J102" i="29"/>
  <c r="M100" i="29"/>
  <c r="L100" i="29"/>
  <c r="K100" i="29"/>
  <c r="J100" i="29"/>
  <c r="F97" i="29"/>
  <c r="E97" i="29"/>
  <c r="D97" i="29"/>
  <c r="C97" i="29"/>
  <c r="M96" i="29"/>
  <c r="L96" i="29"/>
  <c r="K96" i="29"/>
  <c r="J96" i="29"/>
  <c r="F96" i="29"/>
  <c r="E96" i="29"/>
  <c r="D96" i="29"/>
  <c r="C96" i="29"/>
  <c r="M95" i="29"/>
  <c r="L95" i="29"/>
  <c r="K95" i="29"/>
  <c r="J95" i="29"/>
  <c r="F95" i="29"/>
  <c r="E95" i="29"/>
  <c r="D95" i="29"/>
  <c r="C95" i="29"/>
  <c r="M94" i="29"/>
  <c r="L94" i="29"/>
  <c r="K94" i="29"/>
  <c r="J94" i="29"/>
  <c r="F94" i="29"/>
  <c r="E94" i="29"/>
  <c r="D94" i="29"/>
  <c r="C94" i="29"/>
  <c r="M93" i="29"/>
  <c r="L93" i="29"/>
  <c r="K93" i="29"/>
  <c r="J93" i="29"/>
  <c r="F93" i="29"/>
  <c r="E93" i="29"/>
  <c r="D93" i="29"/>
  <c r="C93" i="29"/>
  <c r="M92" i="29"/>
  <c r="L92" i="29"/>
  <c r="K92" i="29"/>
  <c r="J92" i="29"/>
  <c r="F92" i="29"/>
  <c r="E92" i="29"/>
  <c r="D92" i="29"/>
  <c r="C92" i="29"/>
  <c r="M91" i="29"/>
  <c r="L91" i="29"/>
  <c r="K91" i="29"/>
  <c r="J91" i="29"/>
  <c r="F91" i="29"/>
  <c r="E91" i="29"/>
  <c r="D91" i="29"/>
  <c r="C91" i="29"/>
  <c r="M90" i="29"/>
  <c r="L90" i="29"/>
  <c r="K90" i="29"/>
  <c r="J90" i="29"/>
  <c r="F90" i="29"/>
  <c r="E90" i="29"/>
  <c r="D90" i="29"/>
  <c r="C90" i="29"/>
  <c r="S83" i="29"/>
  <c r="R83" i="29"/>
  <c r="Q83" i="29"/>
  <c r="P83" i="29"/>
  <c r="O83" i="29"/>
  <c r="N83" i="29"/>
  <c r="M83" i="29"/>
  <c r="L83" i="29"/>
  <c r="S82" i="29"/>
  <c r="R82" i="29"/>
  <c r="Q82" i="29"/>
  <c r="J82" i="29" s="1"/>
  <c r="P82" i="29"/>
  <c r="O82" i="29"/>
  <c r="N82" i="29"/>
  <c r="M82" i="29"/>
  <c r="H82" i="29" s="1"/>
  <c r="L82" i="29"/>
  <c r="S81" i="29"/>
  <c r="R81" i="29"/>
  <c r="Q81" i="29"/>
  <c r="J81" i="29" s="1"/>
  <c r="P81" i="29"/>
  <c r="O81" i="29"/>
  <c r="N81" i="29"/>
  <c r="M81" i="29"/>
  <c r="H81" i="29" s="1"/>
  <c r="L81" i="29"/>
  <c r="S80" i="29"/>
  <c r="R80" i="29"/>
  <c r="Q80" i="29"/>
  <c r="J80" i="29" s="1"/>
  <c r="P80" i="29"/>
  <c r="O80" i="29"/>
  <c r="N80" i="29"/>
  <c r="M80" i="29"/>
  <c r="H80" i="29" s="1"/>
  <c r="L80" i="29"/>
  <c r="S79" i="29"/>
  <c r="R79" i="29"/>
  <c r="Q79" i="29"/>
  <c r="J79" i="29" s="1"/>
  <c r="P79" i="29"/>
  <c r="O79" i="29"/>
  <c r="N79" i="29"/>
  <c r="M79" i="29"/>
  <c r="H79" i="29" s="1"/>
  <c r="H83" i="29" s="1"/>
  <c r="L79" i="29"/>
  <c r="S74" i="29"/>
  <c r="R74" i="29"/>
  <c r="Q74" i="29"/>
  <c r="P74" i="29"/>
  <c r="O74" i="29"/>
  <c r="K74" i="29"/>
  <c r="J74" i="29"/>
  <c r="I74" i="29"/>
  <c r="H74" i="29"/>
  <c r="S73" i="29"/>
  <c r="R73" i="29"/>
  <c r="Q73" i="29"/>
  <c r="P73" i="29"/>
  <c r="O73" i="29"/>
  <c r="K73" i="29"/>
  <c r="J73" i="29"/>
  <c r="I73" i="29"/>
  <c r="H73" i="29"/>
  <c r="S72" i="29"/>
  <c r="R72" i="29"/>
  <c r="Q72" i="29"/>
  <c r="P72" i="29"/>
  <c r="O72" i="29"/>
  <c r="K72" i="29"/>
  <c r="J72" i="29"/>
  <c r="I72" i="29"/>
  <c r="S71" i="29"/>
  <c r="R71" i="29"/>
  <c r="Q71" i="29"/>
  <c r="P71" i="29"/>
  <c r="O71" i="29"/>
  <c r="K71" i="29"/>
  <c r="J71" i="29"/>
  <c r="I71" i="29"/>
  <c r="H71" i="29"/>
  <c r="S70" i="29"/>
  <c r="R70" i="29"/>
  <c r="Q70" i="29"/>
  <c r="P70" i="29"/>
  <c r="O70" i="29"/>
  <c r="K70" i="29"/>
  <c r="J70" i="29"/>
  <c r="I70" i="29"/>
  <c r="H70" i="29"/>
  <c r="S69" i="29"/>
  <c r="R69" i="29"/>
  <c r="Q69" i="29"/>
  <c r="P69" i="29"/>
  <c r="O69" i="29"/>
  <c r="K69" i="29"/>
  <c r="J69" i="29"/>
  <c r="I69" i="29"/>
  <c r="H69" i="29"/>
  <c r="S68" i="29"/>
  <c r="R68" i="29"/>
  <c r="Q68" i="29"/>
  <c r="P68" i="29"/>
  <c r="O68" i="29"/>
  <c r="K68" i="29"/>
  <c r="J68" i="29"/>
  <c r="I68" i="29"/>
  <c r="H68" i="29"/>
  <c r="S67" i="29"/>
  <c r="R67" i="29"/>
  <c r="Q67" i="29"/>
  <c r="P67" i="29"/>
  <c r="O67" i="29"/>
  <c r="K67" i="29"/>
  <c r="J67" i="29"/>
  <c r="I67" i="29"/>
  <c r="H67" i="29"/>
  <c r="S66" i="29"/>
  <c r="R66" i="29"/>
  <c r="Q66" i="29"/>
  <c r="P66" i="29"/>
  <c r="O66" i="29"/>
  <c r="K66" i="29"/>
  <c r="J66" i="29"/>
  <c r="I66" i="29"/>
  <c r="H66" i="29"/>
  <c r="S65" i="29"/>
  <c r="R65" i="29"/>
  <c r="Q65" i="29"/>
  <c r="P65" i="29"/>
  <c r="O65" i="29"/>
  <c r="K65" i="29"/>
  <c r="J65" i="29"/>
  <c r="I65" i="29"/>
  <c r="H65" i="29"/>
  <c r="I61" i="29"/>
  <c r="K60" i="29"/>
  <c r="H60" i="29"/>
  <c r="K58" i="29"/>
  <c r="H58" i="29"/>
  <c r="K55" i="29"/>
  <c r="H55" i="29"/>
  <c r="K53" i="29"/>
  <c r="H53" i="29"/>
  <c r="K50" i="29"/>
  <c r="H50" i="29"/>
  <c r="K48" i="29"/>
  <c r="H48" i="29"/>
  <c r="S44" i="29"/>
  <c r="R44" i="29"/>
  <c r="Q44" i="29"/>
  <c r="O44" i="29"/>
  <c r="K44" i="29"/>
  <c r="J44" i="29"/>
  <c r="I44" i="29"/>
  <c r="H44" i="29"/>
  <c r="S43" i="29"/>
  <c r="R43" i="29"/>
  <c r="Q43" i="29"/>
  <c r="O43" i="29"/>
  <c r="K43" i="29"/>
  <c r="J43" i="29"/>
  <c r="I43" i="29"/>
  <c r="H43" i="29"/>
  <c r="S42" i="29"/>
  <c r="R42" i="29"/>
  <c r="Q42" i="29"/>
  <c r="O42" i="29"/>
  <c r="K42" i="29"/>
  <c r="J42" i="29"/>
  <c r="I42" i="29"/>
  <c r="H42" i="29"/>
  <c r="S41" i="29"/>
  <c r="R41" i="29"/>
  <c r="Q41" i="29"/>
  <c r="O41" i="29"/>
  <c r="K41" i="29"/>
  <c r="J41" i="29"/>
  <c r="I41" i="29"/>
  <c r="H41" i="29"/>
  <c r="S40" i="29"/>
  <c r="R40" i="29"/>
  <c r="Q40" i="29"/>
  <c r="O40" i="29"/>
  <c r="K40" i="29"/>
  <c r="J40" i="29"/>
  <c r="I40" i="29"/>
  <c r="H40" i="29"/>
  <c r="S39" i="29"/>
  <c r="R39" i="29"/>
  <c r="Q39" i="29"/>
  <c r="O39" i="29"/>
  <c r="K39" i="29"/>
  <c r="J39" i="29"/>
  <c r="I39" i="29"/>
  <c r="H39" i="29"/>
  <c r="K34" i="29"/>
  <c r="H34" i="29"/>
  <c r="K31" i="29"/>
  <c r="H31" i="29"/>
  <c r="K28" i="29"/>
  <c r="H28" i="29"/>
  <c r="K25" i="29"/>
  <c r="H25" i="29"/>
  <c r="K23" i="29"/>
  <c r="H23" i="29"/>
  <c r="K21" i="29"/>
  <c r="H21" i="29"/>
  <c r="M16" i="29"/>
  <c r="L16" i="29"/>
  <c r="H16" i="29"/>
  <c r="G16" i="29"/>
  <c r="F16" i="29"/>
  <c r="E16" i="29"/>
  <c r="D16" i="29"/>
  <c r="M15" i="29"/>
  <c r="L15" i="29"/>
  <c r="H15" i="29"/>
  <c r="G15" i="29"/>
  <c r="F15" i="29"/>
  <c r="E15" i="29"/>
  <c r="D15" i="29"/>
  <c r="K82" i="29"/>
  <c r="I82" i="29"/>
  <c r="K81" i="29"/>
  <c r="I81" i="29"/>
  <c r="K80" i="29"/>
  <c r="I80" i="29"/>
  <c r="K79" i="29"/>
  <c r="I79" i="29"/>
  <c r="I83" i="29" s="1"/>
  <c r="L9" i="29"/>
  <c r="E188" i="29" l="1"/>
  <c r="E189" i="29"/>
  <c r="E190" i="29"/>
  <c r="E191" i="29"/>
  <c r="E192" i="29"/>
  <c r="E193" i="29"/>
  <c r="E194" i="29"/>
  <c r="E195" i="29"/>
  <c r="E196" i="29"/>
  <c r="E197" i="29"/>
  <c r="E198" i="29"/>
  <c r="E199" i="29"/>
  <c r="E200" i="29"/>
  <c r="K83" i="29"/>
  <c r="J83" i="29"/>
  <c r="H161" i="29" l="1"/>
  <c r="H162" i="29"/>
  <c r="H163" i="29"/>
  <c r="H171" i="29"/>
  <c r="H172" i="29"/>
  <c r="H173" i="29"/>
  <c r="H170" i="29"/>
  <c r="G170" i="29"/>
  <c r="F161" i="29"/>
  <c r="G173" i="29" l="1"/>
  <c r="G171" i="29"/>
  <c r="G162" i="29"/>
  <c r="G172" i="29"/>
  <c r="G163" i="29"/>
  <c r="G161" i="29"/>
  <c r="G160" i="29"/>
  <c r="H174" i="29"/>
  <c r="H160" i="29"/>
  <c r="H164" i="29"/>
  <c r="F162" i="29"/>
  <c r="F171" i="29"/>
  <c r="F170" i="29"/>
  <c r="F173" i="29"/>
  <c r="F160" i="29"/>
  <c r="E171" i="29"/>
  <c r="F172" i="29"/>
  <c r="E173" i="29"/>
  <c r="F163" i="29"/>
  <c r="E170" i="29"/>
  <c r="E172" i="29"/>
  <c r="E161" i="29"/>
  <c r="E163" i="29"/>
  <c r="E160" i="29"/>
  <c r="E162" i="29"/>
  <c r="G164" i="29" l="1"/>
  <c r="G174" i="29"/>
  <c r="F174" i="29"/>
  <c r="F164" i="29"/>
  <c r="E174" i="29"/>
  <c r="E164" i="29"/>
</calcChain>
</file>

<file path=xl/sharedStrings.xml><?xml version="1.0" encoding="utf-8"?>
<sst xmlns="http://schemas.openxmlformats.org/spreadsheetml/2006/main" count="844" uniqueCount="192">
  <si>
    <t>Décès</t>
  </si>
  <si>
    <t>Aquitaine</t>
  </si>
  <si>
    <t>Age moyen des patients au premier séjour:</t>
  </si>
  <si>
    <t>Nombre de patients avec uniquement un séjour MCO:</t>
  </si>
  <si>
    <t>Destination après le premier séjour:</t>
  </si>
  <si>
    <t>Aquitaine:</t>
  </si>
  <si>
    <t>MCO</t>
  </si>
  <si>
    <t>SSR</t>
  </si>
  <si>
    <t>HAD</t>
  </si>
  <si>
    <t>Domicile</t>
  </si>
  <si>
    <t>AUTRE</t>
  </si>
  <si>
    <t>BEARN-SOULE</t>
  </si>
  <si>
    <t>DORDOGNE</t>
  </si>
  <si>
    <t>GIRONDE</t>
  </si>
  <si>
    <t>LANDES</t>
  </si>
  <si>
    <t>LOT-ET-GARONNE</t>
  </si>
  <si>
    <t>NAVARRE-COTE BASQUE</t>
  </si>
  <si>
    <t>Vers MCO</t>
  </si>
  <si>
    <t>Vers SSR</t>
  </si>
  <si>
    <t>Vers SLD</t>
  </si>
  <si>
    <t>Vers PSY</t>
  </si>
  <si>
    <t>Vers HAD</t>
  </si>
  <si>
    <t>Vers Médico-Social</t>
  </si>
  <si>
    <t>Territoire Patient (1er sejour)</t>
  </si>
  <si>
    <t>Territoire :</t>
  </si>
  <si>
    <t>Catégorie d'âge:</t>
  </si>
  <si>
    <t>Etude sur le parcours des patients aquitains pris en charge dans le cadre d'un cancer des poumons</t>
  </si>
  <si>
    <t>Nombre de patients hospitalisés pour une primo prise en charge de cancer des poumons en 2012:</t>
  </si>
  <si>
    <t>Répartition par Sexe:</t>
  </si>
  <si>
    <t>Répartition par Age:</t>
  </si>
  <si>
    <t>Hommes</t>
  </si>
  <si>
    <t>Femmes</t>
  </si>
  <si>
    <t>Nombre moyen de séjours MCO par patient:</t>
  </si>
  <si>
    <t>Nombre moyen de séjours SSR par patient:</t>
  </si>
  <si>
    <t>Durée moyenne des séjours SSR</t>
  </si>
  <si>
    <t>Nombre moyen de séjours HAD par patient:</t>
  </si>
  <si>
    <t>Durée moyenne des séjours HAD</t>
  </si>
  <si>
    <t>Focus sur le premier séjour MCO</t>
  </si>
  <si>
    <t>Statistiques séjours</t>
  </si>
  <si>
    <t>Type de prise en charge du primo séjour MCO</t>
  </si>
  <si>
    <t>Chirurgie Majeure</t>
  </si>
  <si>
    <t>Autre chirurgie respiratoire</t>
  </si>
  <si>
    <t>Soins palliatifs</t>
  </si>
  <si>
    <t>Autres</t>
  </si>
  <si>
    <t>Territoire</t>
  </si>
  <si>
    <t>Focus sur les séjours post MCO</t>
  </si>
  <si>
    <t>Délai moyen entre la sortie du dernier séjour MCO et l'entrée en HAD</t>
  </si>
  <si>
    <r>
      <t xml:space="preserve">Type de prise en charge principale des séjours </t>
    </r>
    <r>
      <rPr>
        <b/>
        <u/>
        <sz val="11"/>
        <color theme="1"/>
        <rFont val="Calibri"/>
        <family val="2"/>
        <scheme val="minor"/>
      </rPr>
      <t>HAD</t>
    </r>
  </si>
  <si>
    <t>Chimiothérapie anticancéreuse</t>
  </si>
  <si>
    <t>Prise en charge de la douleur</t>
  </si>
  <si>
    <t>Nombre moyen de séjours PSY par patient:</t>
  </si>
  <si>
    <t>Durée moyenne des séjours PSY</t>
  </si>
  <si>
    <t>Nombre moyen de journées de prise en charge des séjours MCO:</t>
  </si>
  <si>
    <r>
      <t xml:space="preserve">Type de prise en charge associée des séjours </t>
    </r>
    <r>
      <rPr>
        <b/>
        <u/>
        <sz val="11"/>
        <color theme="1"/>
        <rFont val="Calibri"/>
        <family val="2"/>
        <scheme val="minor"/>
      </rPr>
      <t>HAD</t>
    </r>
  </si>
  <si>
    <t>premier séjour, quelque soit le type de prise en charge et le motif d'hospitalisation.</t>
  </si>
  <si>
    <t>- de 40</t>
  </si>
  <si>
    <t>40 à 50</t>
  </si>
  <si>
    <t>50 à 60</t>
  </si>
  <si>
    <t>60 à 75</t>
  </si>
  <si>
    <t>75 et plus</t>
  </si>
  <si>
    <t>Tumeurs malignes de l'appareil respiratoire</t>
  </si>
  <si>
    <t>Autres affections de l'appareil respiratoire</t>
  </si>
  <si>
    <t>Hémopathies et certaines tumeurs malignes</t>
  </si>
  <si>
    <t>Assistance respiratoire</t>
  </si>
  <si>
    <t>Nutrition parentérale</t>
  </si>
  <si>
    <t>Nutrition entérale</t>
  </si>
  <si>
    <t>Surveillance post chimiothérapique anticancéreuse</t>
  </si>
  <si>
    <t>terr</t>
  </si>
  <si>
    <t>aq</t>
  </si>
  <si>
    <t>Territoire de santé de l'établissement du premier séjour</t>
  </si>
  <si>
    <t>Nombre moyen de séjours MCO par patient (hors séances):</t>
  </si>
  <si>
    <t>aphérèse sanguine</t>
  </si>
  <si>
    <t>chimiothérapie</t>
  </si>
  <si>
    <t>chimiothérapie non tumorale</t>
  </si>
  <si>
    <t>dialyse</t>
  </si>
  <si>
    <t>radiothérapie</t>
  </si>
  <si>
    <t>transfusion</t>
  </si>
  <si>
    <t>Séjours Séances - Répartition par type de séances</t>
  </si>
  <si>
    <t>Interventions majeures sur le thorax</t>
  </si>
  <si>
    <t>Séjours comprenant une endoscopie bronchique, en ambulatoire</t>
  </si>
  <si>
    <t>Tumeurs de l'appareil respiratoire</t>
  </si>
  <si>
    <t>Explorations et surveillance pour affections de l'appareil respiratoire</t>
  </si>
  <si>
    <t>Mise en place de certains accès vasculaires pour des affections de la CMD 05, séjours de moins de 2 jours</t>
  </si>
  <si>
    <t>Chimiothérapie pour autre tumeur</t>
  </si>
  <si>
    <t>Soins Palliatifs, avec ou sans acte</t>
  </si>
  <si>
    <t>Chimiothérapie pour tumeur, en séances</t>
  </si>
  <si>
    <t>Préparations à une irradiation externe avec dosimétrie tridimensionnelle avec HDV</t>
  </si>
  <si>
    <t>Techniques complexes d'irradiation externe avec repositionnement, en séances</t>
  </si>
  <si>
    <t>Techniques complexes d'irradiation externe sans repositionnement, en séances</t>
  </si>
  <si>
    <t>CM 28</t>
  </si>
  <si>
    <t>Total séjour hors CM 28</t>
  </si>
  <si>
    <r>
      <t xml:space="preserve">Type de prise en charge des séjours </t>
    </r>
    <r>
      <rPr>
        <b/>
        <u/>
        <sz val="11"/>
        <color theme="1"/>
        <rFont val="Calibri"/>
        <family val="2"/>
        <scheme val="minor"/>
      </rPr>
      <t>SSR (ENSEMBLE DES SEJOURS)</t>
    </r>
  </si>
  <si>
    <r>
      <t xml:space="preserve">Type de prise en charge des séjours </t>
    </r>
    <r>
      <rPr>
        <b/>
        <u/>
        <sz val="11"/>
        <color theme="1"/>
        <rFont val="Calibri"/>
        <family val="2"/>
        <scheme val="minor"/>
      </rPr>
      <t>SSR (1er Séjour SSR UNIQUEMENT)</t>
    </r>
  </si>
  <si>
    <t>Délai moyen Sortie 1er séjour MCO - Entrée 1er séjour SSR</t>
  </si>
  <si>
    <t xml:space="preserve">Répartition des séjours MCO par rapport aux principales racines de GHM FOCUS CM28: </t>
  </si>
  <si>
    <t xml:space="preserve">Répartition des séjours MCO par rapport aux principales racines de GHM (HORS CM28): </t>
  </si>
  <si>
    <t>Tous les ages</t>
  </si>
  <si>
    <t>Territoire de santé de l'établissement de la chirurgie majeure</t>
  </si>
  <si>
    <t>nb de séjours</t>
  </si>
  <si>
    <t>chirurgie majeure</t>
  </si>
  <si>
    <t>Séjours de médecine pour tumeur respiratoire</t>
  </si>
  <si>
    <t>Taux de décès hospitalier à 12 mois</t>
  </si>
  <si>
    <t>Endoscopie en ambulatoire</t>
  </si>
  <si>
    <t>Venue pour chimiothérapie (hors séances)</t>
  </si>
  <si>
    <t>Venue pour chimiothérapie en séance</t>
  </si>
  <si>
    <t>Dordogne</t>
  </si>
  <si>
    <t>Gironde</t>
  </si>
  <si>
    <t>Landes</t>
  </si>
  <si>
    <t>Lot et Garonne</t>
  </si>
  <si>
    <t>Navarre-Côte Basque</t>
  </si>
  <si>
    <t>Béarn et Soule</t>
  </si>
  <si>
    <t>Navarre Côte Basque</t>
  </si>
  <si>
    <t>Territoire de santé de résidence du patient</t>
  </si>
  <si>
    <t>Territoire de santé de l'établissement</t>
  </si>
  <si>
    <t>Cette analyse avec l'ensemble des territoires a été réalisée avec la totalité des patients, quelque soit leur catégorie d'âge</t>
  </si>
  <si>
    <t>Méthodologie d'analyse</t>
  </si>
  <si>
    <t xml:space="preserve">(1) Prise en compte des patients issus de la table régionale PMSI MCO 2012 ayant au moins un séjour avec un Diagnostic Principal ou un Diagnostic </t>
  </si>
  <si>
    <t>Exclusion de la sélection de tous les patients ne résidant pas en Aquitaine.</t>
  </si>
  <si>
    <t xml:space="preserve">(2) A l'aide des tables régionales PMSI MCO 2009, 2010, 2011, et du numéro anonyme, exclusion des patients hospitalisés dans les 3 ans précédant </t>
  </si>
  <si>
    <t>le séjour (1) pour un motif de Cancer du poumon (DP ou DR ou DAS commencant par C34)</t>
  </si>
  <si>
    <t>(4) Recodage de l'âge en 5 catégories:</t>
  </si>
  <si>
    <t>75 ans et plus</t>
  </si>
  <si>
    <t xml:space="preserve">(5) Définition des types de prise en charge MCO en cascade: </t>
  </si>
  <si>
    <t>A - Si racine de GHM = 04C02 alors "Chirurgie majeure"</t>
  </si>
  <si>
    <t>C - Si GHM en C alors "Autre Chirurgie"</t>
  </si>
  <si>
    <t>D - Si racine de GHM = 04K02 alors "Endoscopie en Ambulatoire"</t>
  </si>
  <si>
    <t>E - Si GHM = Z2302Z alors "Soins Palliatifs"</t>
  </si>
  <si>
    <t>F - Si racine de GHM = 27Z07 alors "Venue pour chimiothérapie en séance"</t>
  </si>
  <si>
    <t>G - Si racine de GHM = 17M06 alors "Venue pour chimiothérapie (hors séances)"</t>
  </si>
  <si>
    <t>H - Si racine de GHM = 04M09 alors "Séjours de médecine pour tumeur respiratoire"</t>
  </si>
  <si>
    <t>Types de prise en charges retenus:</t>
  </si>
  <si>
    <t>- Tumeurs malignes de l'appareil respiratoire</t>
  </si>
  <si>
    <t>- Autres affections de l'appareil respiratoire</t>
  </si>
  <si>
    <t>- Hémopathies et certaines tumeurs malignes</t>
  </si>
  <si>
    <t>- Soins palliatifs</t>
  </si>
  <si>
    <t>- Autres</t>
  </si>
  <si>
    <t>des Groupes Médico-Economiques (GME) en 2013.</t>
  </si>
  <si>
    <t>(7) Séjours HAD - Définition des différents types de prise en charge</t>
  </si>
  <si>
    <t>- Surveillance post chimiothérapique anticancéreuse</t>
  </si>
  <si>
    <t>- Nutrition entérale</t>
  </si>
  <si>
    <t>- Chimiothérapie anticancéreuse</t>
  </si>
  <si>
    <t>Autres racines en "C"</t>
  </si>
  <si>
    <t>Autres racines en "M"</t>
  </si>
  <si>
    <t xml:space="preserve">Le but de cette étude est d'analyser le parcours de soins à 12 mois des patients aquitains hospitalisés en 2012 pour une première prise en charge d'un </t>
  </si>
  <si>
    <t>cancer du poumon</t>
  </si>
  <si>
    <t>(3) En considérant le premier sejour MCO 2012 de chaque patient, prise en compte de tous les séjours réalisés 365 jours maximum suivant la fin du</t>
  </si>
  <si>
    <t>[50 et 60[</t>
  </si>
  <si>
    <t>[40 et 50[</t>
  </si>
  <si>
    <t>&lt; 40 ans</t>
  </si>
  <si>
    <t>[60 et 75[</t>
  </si>
  <si>
    <t xml:space="preserve">(6) Séjours SSR - Définition des différents types de prise en charge en fonction des Groupes de Morbidité Dominante (GMD) en 2012 et </t>
  </si>
  <si>
    <t>BEARN-SOULE- de 40</t>
  </si>
  <si>
    <t>BEARN-SOULE40 à 50</t>
  </si>
  <si>
    <t>BEARN-SOULE50 à 60</t>
  </si>
  <si>
    <t>BEARN-SOULE60 à 75</t>
  </si>
  <si>
    <t>BEARN-SOULE75 et plus</t>
  </si>
  <si>
    <t>BEARN-SOULETous les ages</t>
  </si>
  <si>
    <t>DORDOGNE- de 40</t>
  </si>
  <si>
    <t>DORDOGNE40 à 50</t>
  </si>
  <si>
    <t>DORDOGNE50 à 60</t>
  </si>
  <si>
    <t>DORDOGNE60 à 75</t>
  </si>
  <si>
    <t>DORDOGNE75 et plus</t>
  </si>
  <si>
    <t>DORDOGNETous les ages</t>
  </si>
  <si>
    <t>GIRONDE- de 40</t>
  </si>
  <si>
    <t>GIRONDE40 à 50</t>
  </si>
  <si>
    <t>GIRONDE50 à 60</t>
  </si>
  <si>
    <t>GIRONDE60 à 75</t>
  </si>
  <si>
    <t>GIRONDE75 et plus</t>
  </si>
  <si>
    <t>GIRONDETous les ages</t>
  </si>
  <si>
    <t>LANDES- de 40</t>
  </si>
  <si>
    <t>LANDES40 à 50</t>
  </si>
  <si>
    <t>LANDES50 à 60</t>
  </si>
  <si>
    <t>LANDES60 à 75</t>
  </si>
  <si>
    <t>LANDES75 et plus</t>
  </si>
  <si>
    <t>LANDESTous les ages</t>
  </si>
  <si>
    <t>LOT-ET-GARONNE- de 40</t>
  </si>
  <si>
    <t>LOT-ET-GARONNE40 à 50</t>
  </si>
  <si>
    <t>LOT-ET-GARONNE50 à 60</t>
  </si>
  <si>
    <t>LOT-ET-GARONNE60 à 75</t>
  </si>
  <si>
    <t>LOT-ET-GARONNE75 et plus</t>
  </si>
  <si>
    <t>LOT-ET-GARONNETous les ages</t>
  </si>
  <si>
    <t>NAVARRE-COTE BASQUE- de 40</t>
  </si>
  <si>
    <t>NAVARRE-COTE BASQUE40 à 50</t>
  </si>
  <si>
    <t>NAVARRE-COTE BASQUE50 à 60</t>
  </si>
  <si>
    <t>NAVARRE-COTE BASQUE60 à 75</t>
  </si>
  <si>
    <t>NAVARRE-COTE BASQUE75 et plus</t>
  </si>
  <si>
    <t>NAVARRE-COTE BASQUETous les ages</t>
  </si>
  <si>
    <t>-%</t>
  </si>
  <si>
    <t xml:space="preserve">Relié commencant par "C34 Tumeur maligne des bronches et du poumon", "D381  Tumeur à évolution imprévisible ou inconnue de la trachée, des </t>
  </si>
  <si>
    <t>bronches et du poumon" ou "D022 Carcinome in situ des bronches et du poumon " et sans erreur de chainage.</t>
  </si>
  <si>
    <t>B - Si racine de GHM = 04C03 ou 04C04 alors "Autre chirurgie respiratoire"</t>
  </si>
  <si>
    <t xml:space="preserve">Les données de radiothérapie disponibles dans les bases PMSI ne concernent que les établissements 
publics, soit 40% des centres existants en Aquitaine (4/10).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</si>
</sst>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5" fillId="0" borderId="0" xfId="0" applyFont="1"/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0" borderId="5" xfId="0" applyBorder="1"/>
    <xf numFmtId="2" fontId="0" fillId="0" borderId="0" xfId="0" applyNumberFormat="1" applyBorder="1" applyAlignment="1">
      <alignment horizontal="center"/>
    </xf>
    <xf numFmtId="0" fontId="0" fillId="0" borderId="0" xfId="0" applyBorder="1"/>
    <xf numFmtId="0" fontId="1" fillId="0" borderId="5" xfId="0" applyFont="1" applyBorder="1"/>
    <xf numFmtId="0" fontId="6" fillId="0" borderId="5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164" fontId="4" fillId="0" borderId="0" xfId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quotePrefix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/>
    <xf numFmtId="165" fontId="0" fillId="0" borderId="0" xfId="0" applyNumberFormat="1"/>
    <xf numFmtId="166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165" fontId="2" fillId="2" borderId="0" xfId="0" applyNumberFormat="1" applyFont="1" applyFill="1"/>
    <xf numFmtId="0" fontId="2" fillId="2" borderId="0" xfId="0" applyFont="1" applyFill="1"/>
    <xf numFmtId="0" fontId="2" fillId="0" borderId="5" xfId="0" applyFont="1" applyBorder="1"/>
    <xf numFmtId="164" fontId="2" fillId="0" borderId="0" xfId="0" applyNumberFormat="1" applyFont="1" applyBorder="1"/>
    <xf numFmtId="164" fontId="2" fillId="0" borderId="0" xfId="0" applyNumberFormat="1" applyFont="1"/>
    <xf numFmtId="2" fontId="13" fillId="0" borderId="0" xfId="0" applyNumberFormat="1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2" fontId="2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10" fillId="0" borderId="0" xfId="0" applyFont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0" fillId="0" borderId="17" xfId="0" applyNumberFormat="1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9" xfId="0" applyNumberFormat="1" applyBorder="1" applyAlignment="1">
      <alignment vertical="center"/>
    </xf>
    <xf numFmtId="164" fontId="0" fillId="0" borderId="20" xfId="0" applyNumberFormat="1" applyBorder="1" applyAlignment="1">
      <alignment vertical="center"/>
    </xf>
    <xf numFmtId="0" fontId="1" fillId="0" borderId="0" xfId="0" applyFont="1" applyBorder="1" applyAlignment="1">
      <alignment horizontal="right" wrapText="1"/>
    </xf>
    <xf numFmtId="10" fontId="2" fillId="2" borderId="0" xfId="0" applyNumberFormat="1" applyFont="1" applyFill="1"/>
    <xf numFmtId="164" fontId="2" fillId="2" borderId="0" xfId="0" applyNumberFormat="1" applyFont="1" applyFill="1"/>
    <xf numFmtId="164" fontId="0" fillId="0" borderId="0" xfId="0" applyNumberFormat="1" applyBorder="1" applyAlignment="1">
      <alignment horizontal="center" vertical="center"/>
    </xf>
    <xf numFmtId="0" fontId="2" fillId="0" borderId="0" xfId="0" applyFont="1" applyBorder="1"/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right"/>
    </xf>
    <xf numFmtId="164" fontId="0" fillId="0" borderId="21" xfId="0" applyNumberFormat="1" applyBorder="1" applyAlignment="1">
      <alignment vertical="center"/>
    </xf>
    <xf numFmtId="164" fontId="0" fillId="0" borderId="22" xfId="0" applyNumberForma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4" fontId="0" fillId="0" borderId="25" xfId="0" applyNumberFormat="1" applyBorder="1" applyAlignment="1">
      <alignment vertical="center"/>
    </xf>
    <xf numFmtId="164" fontId="0" fillId="0" borderId="26" xfId="0" applyNumberFormat="1" applyBorder="1" applyAlignment="1">
      <alignment vertical="center"/>
    </xf>
    <xf numFmtId="164" fontId="13" fillId="0" borderId="19" xfId="0" applyNumberFormat="1" applyFont="1" applyBorder="1" applyAlignment="1">
      <alignment horizontal="right"/>
    </xf>
    <xf numFmtId="164" fontId="13" fillId="0" borderId="20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0" fontId="1" fillId="0" borderId="0" xfId="0" applyFont="1" applyBorder="1" applyAlignment="1">
      <alignment wrapText="1"/>
    </xf>
    <xf numFmtId="0" fontId="10" fillId="0" borderId="0" xfId="0" applyFont="1" applyBorder="1"/>
    <xf numFmtId="0" fontId="5" fillId="0" borderId="0" xfId="0" applyFont="1" applyBorder="1" applyAlignment="1">
      <alignment horizontal="right"/>
    </xf>
    <xf numFmtId="0" fontId="16" fillId="0" borderId="0" xfId="0" applyFont="1"/>
    <xf numFmtId="0" fontId="16" fillId="0" borderId="0" xfId="0" applyFont="1" applyBorder="1"/>
    <xf numFmtId="0" fontId="17" fillId="0" borderId="0" xfId="0" applyFont="1" applyAlignment="1">
      <alignment horizontal="right"/>
    </xf>
    <xf numFmtId="0" fontId="17" fillId="0" borderId="0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quotePrefix="1" applyFont="1"/>
    <xf numFmtId="1" fontId="0" fillId="0" borderId="1" xfId="0" applyNumberFormat="1" applyBorder="1"/>
    <xf numFmtId="0" fontId="18" fillId="0" borderId="0" xfId="0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19" fillId="0" borderId="0" xfId="0" applyFont="1" applyBorder="1" applyAlignment="1">
      <alignment horizontal="right"/>
    </xf>
    <xf numFmtId="164" fontId="13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3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/>
    </xf>
    <xf numFmtId="164" fontId="19" fillId="0" borderId="1" xfId="0" applyNumberFormat="1" applyFont="1" applyBorder="1" applyAlignment="1">
      <alignment horizontal="center"/>
    </xf>
    <xf numFmtId="164" fontId="18" fillId="0" borderId="0" xfId="0" applyNumberFormat="1" applyFont="1"/>
    <xf numFmtId="0" fontId="20" fillId="0" borderId="0" xfId="0" applyFont="1"/>
    <xf numFmtId="0" fontId="5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0" fillId="0" borderId="21" xfId="0" applyNumberFormat="1" applyBorder="1" applyAlignment="1">
      <alignment vertical="center"/>
    </xf>
    <xf numFmtId="1" fontId="0" fillId="0" borderId="22" xfId="0" applyNumberFormat="1" applyBorder="1" applyAlignment="1">
      <alignment vertical="center"/>
    </xf>
    <xf numFmtId="1" fontId="0" fillId="0" borderId="17" xfId="0" applyNumberFormat="1" applyBorder="1" applyAlignment="1">
      <alignment vertical="center"/>
    </xf>
    <xf numFmtId="1" fontId="0" fillId="0" borderId="18" xfId="0" applyNumberFormat="1" applyBorder="1" applyAlignment="1">
      <alignment vertical="center"/>
    </xf>
    <xf numFmtId="1" fontId="0" fillId="0" borderId="19" xfId="0" applyNumberFormat="1" applyBorder="1" applyAlignment="1">
      <alignment vertical="center"/>
    </xf>
    <xf numFmtId="1" fontId="0" fillId="0" borderId="20" xfId="0" applyNumberFormat="1" applyBorder="1" applyAlignment="1">
      <alignment vertical="center"/>
    </xf>
    <xf numFmtId="1" fontId="0" fillId="0" borderId="25" xfId="0" applyNumberFormat="1" applyBorder="1" applyAlignment="1">
      <alignment vertical="center"/>
    </xf>
    <xf numFmtId="1" fontId="0" fillId="0" borderId="26" xfId="0" applyNumberFormat="1" applyBorder="1" applyAlignment="1">
      <alignment vertical="center"/>
    </xf>
    <xf numFmtId="1" fontId="13" fillId="0" borderId="19" xfId="0" applyNumberFormat="1" applyFont="1" applyBorder="1" applyAlignment="1">
      <alignment horizontal="right"/>
    </xf>
    <xf numFmtId="1" fontId="13" fillId="0" borderId="20" xfId="0" applyNumberFormat="1" applyFont="1" applyBorder="1" applyAlignment="1">
      <alignment horizontal="right"/>
    </xf>
    <xf numFmtId="1" fontId="0" fillId="0" borderId="0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13" fillId="0" borderId="1" xfId="0" applyNumberFormat="1" applyFont="1" applyBorder="1"/>
    <xf numFmtId="0" fontId="0" fillId="0" borderId="0" xfId="0" applyBorder="1" applyAlignment="1">
      <alignment horizontal="center" vertical="center"/>
    </xf>
    <xf numFmtId="0" fontId="0" fillId="0" borderId="0" xfId="0" quotePrefix="1"/>
    <xf numFmtId="0" fontId="0" fillId="2" borderId="0" xfId="0" applyFill="1"/>
    <xf numFmtId="0" fontId="0" fillId="2" borderId="0" xfId="0" applyFill="1" applyAlignment="1"/>
    <xf numFmtId="0" fontId="0" fillId="2" borderId="0" xfId="0" quotePrefix="1" applyFill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165" fontId="0" fillId="0" borderId="13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2">
    <cellStyle name="Normal" xfId="0" builtinId="0"/>
    <cellStyle name="Normal_Feuil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'Par Territoire'!$B$116</c:f>
              <c:strCache>
                <c:ptCount val="1"/>
                <c:pt idx="0">
                  <c:v>Territoire</c:v>
                </c:pt>
              </c:strCache>
            </c:strRef>
          </c:tx>
          <c:dLbls>
            <c:numFmt formatCode="0.0%;[=0]&quot;&quot;;General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 Territoire'!$A$117:$A$124</c:f>
              <c:strCache>
                <c:ptCount val="8"/>
                <c:pt idx="0">
                  <c:v>Vers MCO</c:v>
                </c:pt>
                <c:pt idx="1">
                  <c:v>Vers SSR</c:v>
                </c:pt>
                <c:pt idx="2">
                  <c:v>Vers SLD</c:v>
                </c:pt>
                <c:pt idx="3">
                  <c:v>Vers PSY</c:v>
                </c:pt>
                <c:pt idx="4">
                  <c:v>Vers HAD</c:v>
                </c:pt>
                <c:pt idx="5">
                  <c:v>Vers Médico-Social</c:v>
                </c:pt>
                <c:pt idx="6">
                  <c:v>Domicile</c:v>
                </c:pt>
                <c:pt idx="7">
                  <c:v>Décès</c:v>
                </c:pt>
              </c:strCache>
            </c:strRef>
          </c:cat>
          <c:val>
            <c:numRef>
              <c:f>'Par Territoire'!$B$117:$B$124</c:f>
              <c:numCache>
                <c:formatCode>0.0%</c:formatCode>
                <c:ptCount val="8"/>
                <c:pt idx="0">
                  <c:v>3.6496350364963501E-2</c:v>
                </c:pt>
                <c:pt idx="1">
                  <c:v>6.569343065693431E-2</c:v>
                </c:pt>
                <c:pt idx="2">
                  <c:v>0</c:v>
                </c:pt>
                <c:pt idx="3">
                  <c:v>0</c:v>
                </c:pt>
                <c:pt idx="4">
                  <c:v>3.6496350364963502E-3</c:v>
                </c:pt>
                <c:pt idx="5">
                  <c:v>3.6496350364963502E-3</c:v>
                </c:pt>
                <c:pt idx="6">
                  <c:v>0.83576642335766427</c:v>
                </c:pt>
                <c:pt idx="7">
                  <c:v>5.8394160583941604E-2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#REF!</c:f>
              <c:strCache>
                <c:ptCount val="1"/>
                <c:pt idx="0">
                  <c:v>Territoire</c:v>
                </c:pt>
              </c:strCache>
            </c:strRef>
          </c:tx>
          <c:dLbls>
            <c:numFmt formatCode="0.0%;[=0]&quot;&quot;;General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#REF!</c:f>
              <c:strCache>
                <c:ptCount val="8"/>
                <c:pt idx="0">
                  <c:v>Vers MCO</c:v>
                </c:pt>
                <c:pt idx="1">
                  <c:v>Vers SSR</c:v>
                </c:pt>
                <c:pt idx="2">
                  <c:v>Vers SLD</c:v>
                </c:pt>
                <c:pt idx="3">
                  <c:v>Vers PSY</c:v>
                </c:pt>
                <c:pt idx="4">
                  <c:v>Vers HAD</c:v>
                </c:pt>
                <c:pt idx="5">
                  <c:v>Vers Médico-Social</c:v>
                </c:pt>
                <c:pt idx="6">
                  <c:v>Domicile</c:v>
                </c:pt>
                <c:pt idx="7">
                  <c:v>Décès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8"/>
                <c:pt idx="0">
                  <c:v>6.3291139240506333E-2</c:v>
                </c:pt>
                <c:pt idx="1">
                  <c:v>0.12236286919831219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0.7257383966244737</c:v>
                </c:pt>
                <c:pt idx="7">
                  <c:v>8.8607594936708861E-2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'Analyse tous territoires'!$I$136</c:f>
              <c:strCache>
                <c:ptCount val="1"/>
                <c:pt idx="0">
                  <c:v>Aquitaine</c:v>
                </c:pt>
              </c:strCache>
            </c:strRef>
          </c:tx>
          <c:dLbls>
            <c:numFmt formatCode="0.0%;[=0]&quot;&quot;;General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'Analyse tous territoires'!$B$137:$B$144</c:f>
              <c:strCache>
                <c:ptCount val="8"/>
                <c:pt idx="0">
                  <c:v>Vers MCO</c:v>
                </c:pt>
                <c:pt idx="1">
                  <c:v>Vers SSR</c:v>
                </c:pt>
                <c:pt idx="2">
                  <c:v>Vers SLD</c:v>
                </c:pt>
                <c:pt idx="3">
                  <c:v>Vers PSY</c:v>
                </c:pt>
                <c:pt idx="4">
                  <c:v>Vers HAD</c:v>
                </c:pt>
                <c:pt idx="5">
                  <c:v>Vers Médico-Social</c:v>
                </c:pt>
                <c:pt idx="6">
                  <c:v>Domicile</c:v>
                </c:pt>
                <c:pt idx="7">
                  <c:v>Décès</c:v>
                </c:pt>
              </c:strCache>
            </c:strRef>
          </c:cat>
          <c:val>
            <c:numRef>
              <c:f>'Analyse tous territoires'!$I$137:$I$144</c:f>
              <c:numCache>
                <c:formatCode>0.0%</c:formatCode>
                <c:ptCount val="8"/>
                <c:pt idx="0">
                  <c:v>4.425144747725393E-2</c:v>
                </c:pt>
                <c:pt idx="1">
                  <c:v>7.3614557485525228E-2</c:v>
                </c:pt>
                <c:pt idx="2">
                  <c:v>8.271298593879239E-4</c:v>
                </c:pt>
                <c:pt idx="3">
                  <c:v>4.1356492969396195E-4</c:v>
                </c:pt>
                <c:pt idx="4">
                  <c:v>4.1356492969396195E-4</c:v>
                </c:pt>
                <c:pt idx="5">
                  <c:v>2.0678246484698098E-3</c:v>
                </c:pt>
                <c:pt idx="6">
                  <c:v>0.80024813895781632</c:v>
                </c:pt>
                <c:pt idx="7">
                  <c:v>8.0231596360628613E-2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zero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581027</xdr:colOff>
      <xdr:row>112</xdr:row>
      <xdr:rowOff>173936</xdr:rowOff>
    </xdr:from>
    <xdr:to>
      <xdr:col>13</xdr:col>
      <xdr:colOff>223632</xdr:colOff>
      <xdr:row>132</xdr:row>
      <xdr:rowOff>135834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219074</xdr:colOff>
      <xdr:row>0</xdr:row>
      <xdr:rowOff>123825</xdr:rowOff>
    </xdr:from>
    <xdr:to>
      <xdr:col>1</xdr:col>
      <xdr:colOff>335491</xdr:colOff>
      <xdr:row>5</xdr:row>
      <xdr:rowOff>161925</xdr:rowOff>
    </xdr:to>
    <xdr:pic>
      <xdr:nvPicPr>
        <xdr:cNvPr id="3" name="il_fi" descr="http://www.ars.aquitaine.sante.fr/typo3temp/pics/b76cdced78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9074" y="123825"/>
          <a:ext cx="1430867" cy="9906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581027</xdr:colOff>
      <xdr:row>112</xdr:row>
      <xdr:rowOff>173936</xdr:rowOff>
    </xdr:from>
    <xdr:to>
      <xdr:col>13</xdr:col>
      <xdr:colOff>223632</xdr:colOff>
      <xdr:row>132</xdr:row>
      <xdr:rowOff>135834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219074</xdr:colOff>
      <xdr:row>0</xdr:row>
      <xdr:rowOff>123825</xdr:rowOff>
    </xdr:from>
    <xdr:to>
      <xdr:col>1</xdr:col>
      <xdr:colOff>335491</xdr:colOff>
      <xdr:row>5</xdr:row>
      <xdr:rowOff>161925</xdr:rowOff>
    </xdr:to>
    <xdr:pic>
      <xdr:nvPicPr>
        <xdr:cNvPr id="5" name="il_fi" descr="http://www.ars.aquitaine.sante.fr/typo3temp/pics/b76cdced78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9074" y="123825"/>
          <a:ext cx="1430867" cy="9906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140804</xdr:colOff>
      <xdr:row>132</xdr:row>
      <xdr:rowOff>140805</xdr:rowOff>
    </xdr:from>
    <xdr:to>
      <xdr:col>14</xdr:col>
      <xdr:colOff>679173</xdr:colOff>
      <xdr:row>152</xdr:row>
      <xdr:rowOff>102703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219074</xdr:colOff>
      <xdr:row>0</xdr:row>
      <xdr:rowOff>123825</xdr:rowOff>
    </xdr:from>
    <xdr:to>
      <xdr:col>1</xdr:col>
      <xdr:colOff>335491</xdr:colOff>
      <xdr:row>5</xdr:row>
      <xdr:rowOff>161925</xdr:rowOff>
    </xdr:to>
    <xdr:pic>
      <xdr:nvPicPr>
        <xdr:cNvPr id="3" name="il_fi" descr="http://www.ars.aquitaine.sante.fr/typo3temp/pics/b76cdced78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9074" y="123825"/>
          <a:ext cx="1430867" cy="990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K53"/>
  <sheetViews>
    <sheetView tabSelected="1" zoomScale="145" zoomScaleNormal="145" workbookViewId="0">
      <selection sqref="A1:K2"/>
    </sheetView>
  </sheetViews>
  <sheetFormatPr baseColWidth="10" defaultColWidth="0" defaultRowHeight="15" zeroHeight="1" x14ac:dyDescent="0.25"/>
  <cols>
    <col min="1" max="10" width="11.42578125" customWidth="1"/>
    <col min="11" max="11" width="13.85546875" customWidth="1"/>
    <col min="12" max="16384" width="11.42578125" hidden="1"/>
  </cols>
  <sheetData>
    <row r="1" spans="1:11" x14ac:dyDescent="0.25">
      <c r="A1" s="120" t="s">
        <v>115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x14ac:dyDescent="0.2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x14ac:dyDescent="0.2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1" x14ac:dyDescent="0.25">
      <c r="A4" s="117" t="s">
        <v>143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1" x14ac:dyDescent="0.25">
      <c r="A5" s="117" t="s">
        <v>144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</row>
    <row r="6" spans="1:11" x14ac:dyDescent="0.2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</row>
    <row r="7" spans="1:11" x14ac:dyDescent="0.2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1" x14ac:dyDescent="0.25">
      <c r="A8" s="117" t="s">
        <v>116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</row>
    <row r="9" spans="1:11" x14ac:dyDescent="0.25">
      <c r="A9" s="118" t="s">
        <v>188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</row>
    <row r="10" spans="1:11" x14ac:dyDescent="0.25">
      <c r="A10" s="117" t="s">
        <v>189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1" x14ac:dyDescent="0.25">
      <c r="A11" s="117" t="s">
        <v>117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</row>
    <row r="12" spans="1:11" x14ac:dyDescent="0.25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</row>
    <row r="13" spans="1:11" x14ac:dyDescent="0.25">
      <c r="A13" s="118" t="s">
        <v>118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</row>
    <row r="14" spans="1:11" x14ac:dyDescent="0.25">
      <c r="A14" s="117" t="s">
        <v>119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</row>
    <row r="15" spans="1:11" x14ac:dyDescent="0.25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</row>
    <row r="16" spans="1:11" x14ac:dyDescent="0.25">
      <c r="A16" s="117" t="s">
        <v>145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</row>
    <row r="17" spans="1:11" x14ac:dyDescent="0.25">
      <c r="A17" s="117" t="s">
        <v>54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</row>
    <row r="18" spans="1:11" x14ac:dyDescent="0.25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</row>
    <row r="19" spans="1:11" x14ac:dyDescent="0.25">
      <c r="A19" s="117" t="s">
        <v>120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</row>
    <row r="20" spans="1:11" x14ac:dyDescent="0.25">
      <c r="A20" s="117" t="s">
        <v>148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</row>
    <row r="21" spans="1:11" x14ac:dyDescent="0.25">
      <c r="A21" s="117" t="s">
        <v>147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</row>
    <row r="22" spans="1:11" x14ac:dyDescent="0.25">
      <c r="A22" s="117" t="s">
        <v>146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</row>
    <row r="23" spans="1:11" x14ac:dyDescent="0.25">
      <c r="A23" s="117" t="s">
        <v>149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</row>
    <row r="24" spans="1:11" x14ac:dyDescent="0.25">
      <c r="A24" s="117" t="s">
        <v>121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</row>
    <row r="25" spans="1:11" x14ac:dyDescent="0.25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117"/>
    </row>
    <row r="26" spans="1:11" x14ac:dyDescent="0.25">
      <c r="A26" s="117" t="s">
        <v>122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</row>
    <row r="27" spans="1:11" x14ac:dyDescent="0.25">
      <c r="A27" s="117" t="s">
        <v>123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</row>
    <row r="28" spans="1:11" x14ac:dyDescent="0.25">
      <c r="A28" s="117" t="s">
        <v>190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</row>
    <row r="29" spans="1:11" x14ac:dyDescent="0.25">
      <c r="A29" s="117" t="s">
        <v>124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</row>
    <row r="30" spans="1:11" x14ac:dyDescent="0.25">
      <c r="A30" s="117" t="s">
        <v>125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</row>
    <row r="31" spans="1:11" x14ac:dyDescent="0.25">
      <c r="A31" s="117" t="s">
        <v>126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</row>
    <row r="32" spans="1:11" x14ac:dyDescent="0.25">
      <c r="A32" s="117" t="s">
        <v>127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</row>
    <row r="33" spans="1:11" x14ac:dyDescent="0.25">
      <c r="A33" s="117" t="s">
        <v>128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</row>
    <row r="34" spans="1:11" x14ac:dyDescent="0.25">
      <c r="A34" s="117" t="s">
        <v>129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</row>
    <row r="35" spans="1:11" x14ac:dyDescent="0.25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</row>
    <row r="36" spans="1:11" x14ac:dyDescent="0.25">
      <c r="A36" s="117" t="s">
        <v>150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</row>
    <row r="37" spans="1:11" x14ac:dyDescent="0.25">
      <c r="A37" s="117" t="s">
        <v>136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</row>
    <row r="38" spans="1:11" x14ac:dyDescent="0.25">
      <c r="A38" s="117" t="s">
        <v>130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</row>
    <row r="39" spans="1:11" x14ac:dyDescent="0.25">
      <c r="A39" s="119" t="s">
        <v>131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</row>
    <row r="40" spans="1:11" x14ac:dyDescent="0.25">
      <c r="A40" s="119" t="s">
        <v>134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</row>
    <row r="41" spans="1:11" x14ac:dyDescent="0.25">
      <c r="A41" s="119" t="s">
        <v>132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</row>
    <row r="42" spans="1:11" x14ac:dyDescent="0.25">
      <c r="A42" s="119" t="s">
        <v>133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</row>
    <row r="43" spans="1:11" x14ac:dyDescent="0.25">
      <c r="A43" s="119" t="s">
        <v>135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</row>
    <row r="44" spans="1:11" x14ac:dyDescent="0.25">
      <c r="A44" s="119"/>
      <c r="B44" s="117"/>
      <c r="C44" s="117"/>
      <c r="D44" s="117"/>
      <c r="E44" s="117"/>
      <c r="F44" s="117"/>
      <c r="G44" s="117"/>
      <c r="H44" s="117"/>
      <c r="I44" s="117"/>
      <c r="J44" s="117"/>
      <c r="K44" s="117"/>
    </row>
    <row r="45" spans="1:11" x14ac:dyDescent="0.25">
      <c r="A45" s="119"/>
      <c r="B45" s="117"/>
      <c r="C45" s="117"/>
      <c r="D45" s="117"/>
      <c r="E45" s="117"/>
      <c r="F45" s="117"/>
      <c r="G45" s="117"/>
      <c r="H45" s="117"/>
      <c r="I45" s="117"/>
      <c r="J45" s="117"/>
      <c r="K45" s="117"/>
    </row>
    <row r="46" spans="1:11" x14ac:dyDescent="0.25">
      <c r="A46" s="117" t="s">
        <v>137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</row>
    <row r="47" spans="1:11" x14ac:dyDescent="0.25">
      <c r="A47" s="117" t="s">
        <v>130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</row>
    <row r="48" spans="1:11" x14ac:dyDescent="0.25">
      <c r="A48" s="119" t="s">
        <v>138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</row>
    <row r="49" spans="1:11" x14ac:dyDescent="0.25">
      <c r="A49" s="119" t="s">
        <v>134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</row>
    <row r="50" spans="1:11" x14ac:dyDescent="0.25">
      <c r="A50" s="119" t="s">
        <v>139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</row>
    <row r="51" spans="1:11" x14ac:dyDescent="0.25">
      <c r="A51" s="119" t="s">
        <v>140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</row>
    <row r="52" spans="1:11" x14ac:dyDescent="0.25">
      <c r="A52" s="119" t="s">
        <v>135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</row>
    <row r="53" spans="1:11" x14ac:dyDescent="0.25">
      <c r="A53" s="119"/>
      <c r="B53" s="117"/>
      <c r="C53" s="117"/>
      <c r="D53" s="117"/>
      <c r="E53" s="117"/>
      <c r="F53" s="117"/>
      <c r="G53" s="117"/>
      <c r="H53" s="117"/>
      <c r="I53" s="117"/>
      <c r="J53" s="117"/>
      <c r="K53" s="117"/>
    </row>
  </sheetData>
  <mergeCells count="1">
    <mergeCell ref="A1:K2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6"/>
  <sheetViews>
    <sheetView showGridLines="0" zoomScale="115" zoomScaleNormal="115" workbookViewId="0">
      <selection activeCell="F9" sqref="F9:J9"/>
    </sheetView>
  </sheetViews>
  <sheetFormatPr baseColWidth="10" defaultColWidth="0" defaultRowHeight="15" customHeight="1" zeroHeight="1" x14ac:dyDescent="0.25"/>
  <cols>
    <col min="1" max="1" width="19.7109375" customWidth="1"/>
    <col min="2" max="2" width="22.28515625" customWidth="1"/>
    <col min="3" max="9" width="11.42578125" customWidth="1"/>
    <col min="10" max="10" width="9.7109375" customWidth="1"/>
    <col min="11" max="12" width="11.42578125" customWidth="1"/>
    <col min="13" max="13" width="12.42578125" customWidth="1"/>
    <col min="14" max="14" width="6.140625" customWidth="1"/>
    <col min="15" max="15" width="11.5703125" hidden="1" customWidth="1"/>
    <col min="16" max="16384" width="11.42578125" hidden="1"/>
  </cols>
  <sheetData>
    <row r="1" spans="1:15" x14ac:dyDescent="0.25"/>
    <row r="2" spans="1:15" ht="15" customHeight="1" x14ac:dyDescent="0.25">
      <c r="C2" s="127" t="s">
        <v>26</v>
      </c>
      <c r="D2" s="128"/>
      <c r="E2" s="128"/>
      <c r="F2" s="128"/>
      <c r="G2" s="128"/>
      <c r="H2" s="128"/>
      <c r="I2" s="128"/>
      <c r="J2" s="128"/>
      <c r="K2" s="128"/>
      <c r="L2" s="129"/>
    </row>
    <row r="3" spans="1:15" ht="15" customHeight="1" x14ac:dyDescent="0.25">
      <c r="C3" s="130"/>
      <c r="D3" s="131"/>
      <c r="E3" s="131"/>
      <c r="F3" s="131"/>
      <c r="G3" s="131"/>
      <c r="H3" s="131"/>
      <c r="I3" s="131"/>
      <c r="J3" s="131"/>
      <c r="K3" s="131"/>
      <c r="L3" s="132"/>
    </row>
    <row r="4" spans="1:15" ht="15" customHeight="1" x14ac:dyDescent="0.25">
      <c r="C4" s="130"/>
      <c r="D4" s="131"/>
      <c r="E4" s="131"/>
      <c r="F4" s="131"/>
      <c r="G4" s="131"/>
      <c r="H4" s="131"/>
      <c r="I4" s="131"/>
      <c r="J4" s="131"/>
      <c r="K4" s="131"/>
      <c r="L4" s="132"/>
    </row>
    <row r="5" spans="1:15" ht="15" customHeight="1" x14ac:dyDescent="0.25">
      <c r="C5" s="133"/>
      <c r="D5" s="134"/>
      <c r="E5" s="134"/>
      <c r="F5" s="134"/>
      <c r="G5" s="134"/>
      <c r="H5" s="134"/>
      <c r="I5" s="134"/>
      <c r="J5" s="134"/>
      <c r="K5" s="134"/>
      <c r="L5" s="135"/>
    </row>
    <row r="6" spans="1:15" x14ac:dyDescent="0.25"/>
    <row r="7" spans="1:15" x14ac:dyDescent="0.25"/>
    <row r="8" spans="1:15" ht="7.5" customHeight="1" x14ac:dyDescent="0.25"/>
    <row r="9" spans="1:15" ht="27.75" customHeight="1" x14ac:dyDescent="0.25">
      <c r="A9" s="136" t="s">
        <v>23</v>
      </c>
      <c r="B9" s="136"/>
      <c r="C9" s="136"/>
      <c r="D9" s="136"/>
      <c r="E9" s="137"/>
      <c r="F9" s="138" t="s">
        <v>11</v>
      </c>
      <c r="G9" s="139"/>
      <c r="H9" s="139"/>
      <c r="I9" s="139"/>
      <c r="J9" s="140"/>
      <c r="K9" s="2"/>
      <c r="L9" s="2" t="str">
        <f>F9&amp;F12</f>
        <v>BEARN-SOULETous les ages</v>
      </c>
      <c r="M9" s="2"/>
    </row>
    <row r="10" spans="1:15" ht="6.75" customHeight="1" x14ac:dyDescent="0.25"/>
    <row r="11" spans="1:15" ht="7.5" customHeight="1" x14ac:dyDescent="0.25"/>
    <row r="12" spans="1:15" s="3" customFormat="1" ht="28.5" customHeight="1" x14ac:dyDescent="0.25">
      <c r="D12" s="3" t="s">
        <v>25</v>
      </c>
      <c r="F12" s="141" t="s">
        <v>96</v>
      </c>
      <c r="G12" s="141"/>
      <c r="H12" s="141"/>
      <c r="I12" s="141"/>
    </row>
    <row r="13" spans="1:15" ht="6" customHeight="1" x14ac:dyDescent="0.25">
      <c r="K13" s="1"/>
    </row>
    <row r="14" spans="1:15" ht="18" customHeight="1" x14ac:dyDescent="0.25">
      <c r="D14" s="20" t="s">
        <v>55</v>
      </c>
      <c r="E14" s="3" t="s">
        <v>147</v>
      </c>
      <c r="F14" s="3" t="s">
        <v>146</v>
      </c>
      <c r="G14" s="3" t="s">
        <v>149</v>
      </c>
      <c r="H14" s="3" t="s">
        <v>121</v>
      </c>
      <c r="I14" s="3"/>
      <c r="J14" s="3"/>
      <c r="K14" s="3"/>
      <c r="L14" s="3" t="s">
        <v>30</v>
      </c>
      <c r="M14" s="3" t="s">
        <v>31</v>
      </c>
    </row>
    <row r="15" spans="1:15" ht="18" customHeight="1" x14ac:dyDescent="0.25">
      <c r="B15" s="4" t="s">
        <v>29</v>
      </c>
      <c r="C15" s="4" t="s">
        <v>24</v>
      </c>
      <c r="D15" s="7">
        <f>VLOOKUP(F9&amp;F12,Feuil4!C:LK,2,FALSE)</f>
        <v>2.1897810218978103E-2</v>
      </c>
      <c r="E15" s="7">
        <f>VLOOKUP(F9&amp;F12,Feuil4!C:LK,3,FALSE)</f>
        <v>5.1094890510948905E-2</v>
      </c>
      <c r="F15" s="7">
        <f>VLOOKUP(F9&amp;F12,Feuil4!C:LK,4,FALSE)</f>
        <v>0.20437956204379562</v>
      </c>
      <c r="G15" s="7">
        <f>VLOOKUP(F9&amp;F12,Feuil4!C:LK,5,FALSE)</f>
        <v>0.43065693430656932</v>
      </c>
      <c r="H15" s="7">
        <f>VLOOKUP(F9&amp;F12,Feuil4!C:LK,6,FALSE)</f>
        <v>0.29197080291970801</v>
      </c>
      <c r="J15" s="4" t="s">
        <v>28</v>
      </c>
      <c r="K15" s="4" t="s">
        <v>24</v>
      </c>
      <c r="L15" s="7">
        <f>VLOOKUP(F9&amp;F12,Feuil4!C:LK,12,FALSE)</f>
        <v>0.71897810218978098</v>
      </c>
      <c r="M15" s="7">
        <f>VLOOKUP(F9&amp;F12,Feuil4!C:LK,13,FALSE)</f>
        <v>0.28102189781021902</v>
      </c>
      <c r="N15" s="28"/>
      <c r="O15" s="29"/>
    </row>
    <row r="16" spans="1:15" ht="18" customHeight="1" x14ac:dyDescent="0.25">
      <c r="B16" s="4"/>
      <c r="C16" s="4" t="s">
        <v>5</v>
      </c>
      <c r="D16" s="7">
        <f>VLOOKUP(F9&amp;F12,Feuil4!C:LK,7,FALSE)</f>
        <v>1.1579818031430935E-2</v>
      </c>
      <c r="E16" s="7">
        <f>VLOOKUP(F9&amp;F12,Feuil4!C:LK,8,FALSE)</f>
        <v>6.1621174524400329E-2</v>
      </c>
      <c r="F16" s="7">
        <f>VLOOKUP(F9&amp;F12,Feuil4!C:LK,9,FALSE)</f>
        <v>0.21464019851116625</v>
      </c>
      <c r="G16" s="7">
        <f>VLOOKUP(F9&amp;F12,Feuil4!C:LK,10,FALSE)</f>
        <v>0.44582299421009097</v>
      </c>
      <c r="H16" s="7">
        <f>VLOOKUP(F9&amp;F12,Feuil4!C:LK,11,FALSE)</f>
        <v>0.26633581472291151</v>
      </c>
      <c r="J16" s="4"/>
      <c r="K16" s="4" t="s">
        <v>5</v>
      </c>
      <c r="L16" s="7">
        <f>VLOOKUP(F9&amp;F12,Feuil4!C:LK,14,FALSE)</f>
        <v>0.70471464019851116</v>
      </c>
      <c r="M16" s="7">
        <f>VLOOKUP(F9&amp;F12,Feuil4!C:LK,15,FALSE)</f>
        <v>0.29528535980148884</v>
      </c>
      <c r="N16" s="29"/>
      <c r="O16" s="29"/>
    </row>
    <row r="17" spans="1:16" ht="7.5" customHeight="1" x14ac:dyDescent="0.25">
      <c r="B17" s="4"/>
      <c r="C17" s="4"/>
      <c r="G17" s="1"/>
      <c r="K17" s="1"/>
    </row>
    <row r="18" spans="1:16" ht="7.5" customHeight="1" x14ac:dyDescent="0.25">
      <c r="B18" s="4"/>
      <c r="C18" s="4"/>
      <c r="G18" s="1"/>
      <c r="K18" s="1"/>
    </row>
    <row r="19" spans="1:16" x14ac:dyDescent="0.25">
      <c r="A19" s="13" t="s">
        <v>38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6" ht="6" customHeight="1" x14ac:dyDescent="0.25"/>
    <row r="21" spans="1:16" x14ac:dyDescent="0.25">
      <c r="G21" s="4" t="s">
        <v>27</v>
      </c>
      <c r="H21" s="8">
        <f>VLOOKUP(F9&amp;F12,Feuil4!C:LK,16,FALSE)</f>
        <v>274</v>
      </c>
      <c r="I21" s="29"/>
      <c r="J21" s="5" t="s">
        <v>1</v>
      </c>
      <c r="K21" s="8">
        <f>VLOOKUP(F9&amp;F12,Feuil4!C:LK,22,FALSE)</f>
        <v>2418</v>
      </c>
      <c r="L21" s="2"/>
      <c r="P21" t="s">
        <v>11</v>
      </c>
    </row>
    <row r="22" spans="1:16" ht="6" customHeight="1" x14ac:dyDescent="0.25">
      <c r="I22" s="29"/>
      <c r="K22" s="1"/>
      <c r="L22" s="2"/>
      <c r="P22" t="s">
        <v>12</v>
      </c>
    </row>
    <row r="23" spans="1:16" x14ac:dyDescent="0.25">
      <c r="G23" s="4" t="s">
        <v>2</v>
      </c>
      <c r="H23" s="24">
        <f>VLOOKUP(F9&amp;F12,Feuil4!C:LK,17,FALSE)</f>
        <v>66.496350364963504</v>
      </c>
      <c r="I23" s="29"/>
      <c r="J23" s="5" t="s">
        <v>1</v>
      </c>
      <c r="K23" s="24">
        <f>VLOOKUP(F9&amp;F12,Feuil4!C:LK,23,FALSE)</f>
        <v>66.236559139784944</v>
      </c>
      <c r="L23" s="2"/>
      <c r="P23" t="s">
        <v>13</v>
      </c>
    </row>
    <row r="24" spans="1:16" ht="18" customHeight="1" x14ac:dyDescent="0.25">
      <c r="B24" s="4"/>
      <c r="I24" s="29"/>
      <c r="K24" s="1"/>
      <c r="L24" s="2"/>
      <c r="P24" t="s">
        <v>14</v>
      </c>
    </row>
    <row r="25" spans="1:16" x14ac:dyDescent="0.25">
      <c r="G25" s="4" t="s">
        <v>3</v>
      </c>
      <c r="H25" s="8">
        <f>VLOOKUP(F9&amp;F12,Feuil4!C:LK,18,FALSE)</f>
        <v>32</v>
      </c>
      <c r="I25" s="29"/>
      <c r="J25" s="5" t="s">
        <v>1</v>
      </c>
      <c r="K25" s="8">
        <f>VLOOKUP(F9&amp;F12,Feuil4!C:LK,24,FALSE)</f>
        <v>308</v>
      </c>
      <c r="L25" s="2"/>
      <c r="P25" t="s">
        <v>15</v>
      </c>
    </row>
    <row r="26" spans="1:16" ht="13.5" customHeight="1" x14ac:dyDescent="0.25">
      <c r="I26" s="29"/>
      <c r="L26" s="2"/>
      <c r="P26" t="s">
        <v>16</v>
      </c>
    </row>
    <row r="27" spans="1:16" ht="6" customHeight="1" x14ac:dyDescent="0.25">
      <c r="I27" s="29"/>
      <c r="L27" s="2"/>
    </row>
    <row r="28" spans="1:16" x14ac:dyDescent="0.25">
      <c r="G28" s="4" t="s">
        <v>32</v>
      </c>
      <c r="H28" s="8">
        <f>VLOOKUP(F9&amp;F12,Feuil4!C:LK,19,FALSE)</f>
        <v>8.9671532846715323</v>
      </c>
      <c r="I28" s="29"/>
      <c r="J28" s="5" t="s">
        <v>1</v>
      </c>
      <c r="K28" s="8">
        <f>VLOOKUP(F9&amp;F12,Feuil4!C:LK,25,FALSE)</f>
        <v>10.480562448304385</v>
      </c>
      <c r="L28" s="2"/>
    </row>
    <row r="29" spans="1:16" ht="6.75" customHeight="1" x14ac:dyDescent="0.25">
      <c r="I29" s="29"/>
      <c r="L29" s="2"/>
    </row>
    <row r="30" spans="1:16" ht="6" customHeight="1" x14ac:dyDescent="0.25">
      <c r="I30" s="29"/>
      <c r="L30" s="2"/>
    </row>
    <row r="31" spans="1:16" x14ac:dyDescent="0.25">
      <c r="G31" s="4" t="s">
        <v>70</v>
      </c>
      <c r="H31" s="8">
        <f>VLOOKUP(F9&amp;F12,Feuil4!C:LK,20,FALSE)</f>
        <v>4.1824817518248176</v>
      </c>
      <c r="I31" s="29"/>
      <c r="J31" s="5" t="s">
        <v>1</v>
      </c>
      <c r="K31" s="8">
        <f>VLOOKUP(F9&amp;F12,Feuil4!C:LK,26,FALSE)</f>
        <v>3.9582299421009099</v>
      </c>
      <c r="L31" s="2"/>
    </row>
    <row r="32" spans="1:16" ht="6.75" customHeight="1" x14ac:dyDescent="0.25">
      <c r="I32" s="29"/>
      <c r="L32" s="2"/>
    </row>
    <row r="33" spans="1:19" ht="6.75" customHeight="1" x14ac:dyDescent="0.25">
      <c r="I33" s="29"/>
      <c r="L33" s="2"/>
    </row>
    <row r="34" spans="1:19" x14ac:dyDescent="0.25">
      <c r="G34" s="4" t="s">
        <v>52</v>
      </c>
      <c r="H34" s="8">
        <f>VLOOKUP(F9&amp;F12,Feuil4!C:LK,21,FALSE)</f>
        <v>22.37956204379562</v>
      </c>
      <c r="I34" s="2"/>
      <c r="J34" s="5" t="s">
        <v>1</v>
      </c>
      <c r="K34" s="8">
        <f>VLOOKUP(F9&amp;F12,Feuil4!C:LK,27,FALSE)</f>
        <v>32.586848635235732</v>
      </c>
      <c r="L34" s="2"/>
    </row>
    <row r="35" spans="1:19" x14ac:dyDescent="0.25">
      <c r="G35" s="4"/>
      <c r="H35" s="11"/>
      <c r="I35" s="2"/>
      <c r="J35" s="5"/>
      <c r="K35" s="11"/>
      <c r="L35" s="2"/>
    </row>
    <row r="36" spans="1:19" x14ac:dyDescent="0.25">
      <c r="G36" s="4"/>
      <c r="H36" s="11"/>
      <c r="I36" s="2"/>
      <c r="J36" s="5"/>
      <c r="K36" s="33"/>
      <c r="L36" s="34"/>
      <c r="M36" s="34"/>
      <c r="N36" s="34"/>
    </row>
    <row r="37" spans="1:19" x14ac:dyDescent="0.25">
      <c r="C37" t="s">
        <v>77</v>
      </c>
      <c r="G37" s="4"/>
      <c r="H37" s="11"/>
      <c r="I37" s="2"/>
      <c r="J37" s="5"/>
      <c r="K37" s="33"/>
      <c r="L37" s="34"/>
      <c r="M37" s="34"/>
      <c r="N37" s="34"/>
    </row>
    <row r="38" spans="1:19" x14ac:dyDescent="0.25">
      <c r="G38" s="12"/>
      <c r="H38" s="115" t="s">
        <v>44</v>
      </c>
      <c r="I38" s="115" t="s">
        <v>1</v>
      </c>
      <c r="J38" s="115" t="s">
        <v>44</v>
      </c>
      <c r="K38" s="115" t="s">
        <v>1</v>
      </c>
      <c r="L38" s="5"/>
      <c r="M38" s="33"/>
      <c r="N38" s="34"/>
      <c r="O38" s="34"/>
    </row>
    <row r="39" spans="1:19" x14ac:dyDescent="0.25">
      <c r="G39" s="15" t="s">
        <v>72</v>
      </c>
      <c r="H39" s="22">
        <f>VLOOKUP(F9&amp;F12,Feuil4!C:LK,28,FALSE)</f>
        <v>0.92874109263657956</v>
      </c>
      <c r="I39" s="22">
        <f>VLOOKUP(F9&amp;F12,Feuil4!C:LK,29,FALSE)</f>
        <v>0.57145574435708846</v>
      </c>
      <c r="J39" s="73">
        <f>VLOOKUP(F9&amp;F12,Feuil4!C:LK,30,FALSE)</f>
        <v>1173</v>
      </c>
      <c r="K39" s="73">
        <f>VLOOKUP(F9&amp;F12,Feuil4!C:LK,31,FALSE)</f>
        <v>9013</v>
      </c>
      <c r="L39" s="35"/>
      <c r="M39" s="36"/>
      <c r="N39" s="2"/>
      <c r="O39" s="2" t="e">
        <f>(COUNTIFS(#REF!,'Par Territoire'!$G39)/(COUNTIFS(#REF!,"&lt;&gt;")))</f>
        <v>#REF!</v>
      </c>
      <c r="Q39" s="2" t="e">
        <f>COUNTIFS(#REF!,'Par Territoire'!$F$9,#REF!,'Par Territoire'!$G39)</f>
        <v>#REF!</v>
      </c>
      <c r="R39" s="2" t="e">
        <f>(COUNTIFS(#REF!,'Par Territoire'!$F$12,#REF!,'Par Territoire'!$G39))</f>
        <v>#REF!</v>
      </c>
      <c r="S39" s="2" t="e">
        <f>(COUNTIFS(#REF!,'Par Territoire'!$G39))</f>
        <v>#REF!</v>
      </c>
    </row>
    <row r="40" spans="1:19" x14ac:dyDescent="0.25">
      <c r="A40" s="142" t="s">
        <v>191</v>
      </c>
      <c r="B40" s="142"/>
      <c r="C40" s="142"/>
      <c r="D40" s="142"/>
      <c r="E40" s="142"/>
      <c r="G40" s="15" t="s">
        <v>75</v>
      </c>
      <c r="H40" s="22">
        <f>VLOOKUP(F9&amp;F12,Feuil4!C:LK,32,FALSE)</f>
        <v>4.5922406967537611E-2</v>
      </c>
      <c r="I40" s="22">
        <f>VLOOKUP(F9&amp;F12,Feuil4!C:LK,33,FALSE)</f>
        <v>0.40077352269845296</v>
      </c>
      <c r="J40" s="73">
        <f>VLOOKUP(F9&amp;F12,Feuil4!C:LK,34,FALSE)</f>
        <v>58</v>
      </c>
      <c r="K40" s="73">
        <f>VLOOKUP(F9&amp;F12,Feuil4!C:LK,35,FALSE)</f>
        <v>6321</v>
      </c>
      <c r="L40" s="35"/>
      <c r="M40" s="36"/>
      <c r="N40" s="2"/>
      <c r="O40" s="2" t="e">
        <f>(COUNTIFS(#REF!,'Par Territoire'!$G40)/(COUNTIFS(#REF!,"&lt;&gt;")))</f>
        <v>#REF!</v>
      </c>
      <c r="Q40" s="2" t="e">
        <f>COUNTIFS(#REF!,'Par Territoire'!$F$9,#REF!,'Par Territoire'!$G40)</f>
        <v>#REF!</v>
      </c>
      <c r="R40" s="2" t="e">
        <f>(COUNTIFS(#REF!,'Par Territoire'!$F$12,#REF!,'Par Territoire'!$G40))</f>
        <v>#REF!</v>
      </c>
      <c r="S40" s="2" t="e">
        <f>(COUNTIFS(#REF!,'Par Territoire'!$G40))</f>
        <v>#REF!</v>
      </c>
    </row>
    <row r="41" spans="1:19" x14ac:dyDescent="0.25">
      <c r="A41" s="142"/>
      <c r="B41" s="142"/>
      <c r="C41" s="142"/>
      <c r="D41" s="142"/>
      <c r="E41" s="142"/>
      <c r="G41" s="15" t="s">
        <v>76</v>
      </c>
      <c r="H41" s="22">
        <f>VLOOKUP(F9&amp;F12,Feuil4!C:LK,36,FALSE)</f>
        <v>1.8210609659540775E-2</v>
      </c>
      <c r="I41" s="22">
        <f>VLOOKUP(F9&amp;F12,Feuil4!C:LK,37,FALSE)</f>
        <v>1.8133400963733198E-2</v>
      </c>
      <c r="J41" s="73">
        <f>VLOOKUP(F9&amp;F12,Feuil4!C:LK,38,FALSE)</f>
        <v>23</v>
      </c>
      <c r="K41" s="73">
        <f>VLOOKUP(F9&amp;F12,Feuil4!C:LK,39,FALSE)</f>
        <v>286</v>
      </c>
      <c r="L41" s="35"/>
      <c r="M41" s="36"/>
      <c r="N41" s="2"/>
      <c r="O41" s="2" t="e">
        <f>(COUNTIFS(#REF!,'Par Territoire'!$G41)/(COUNTIFS(#REF!,"&lt;&gt;")))</f>
        <v>#REF!</v>
      </c>
      <c r="Q41" s="2" t="e">
        <f>COUNTIFS(#REF!,'Par Territoire'!$F$9,#REF!,'Par Territoire'!$G41)</f>
        <v>#REF!</v>
      </c>
      <c r="R41" s="2" t="e">
        <f>(COUNTIFS(#REF!,'Par Territoire'!$F$12,#REF!,'Par Territoire'!$G41))</f>
        <v>#REF!</v>
      </c>
      <c r="S41" s="2" t="e">
        <f>(COUNTIFS(#REF!,'Par Territoire'!$G41))</f>
        <v>#REF!</v>
      </c>
    </row>
    <row r="42" spans="1:19" x14ac:dyDescent="0.25">
      <c r="G42" s="15" t="s">
        <v>74</v>
      </c>
      <c r="H42" s="22">
        <f>VLOOKUP(F9&amp;F12,Feuil4!C:LK,40,FALSE)</f>
        <v>1.5835312747426761E-3</v>
      </c>
      <c r="I42" s="22">
        <f>VLOOKUP(F9&amp;F12,Feuil4!C:LK,41,FALSE)</f>
        <v>7.101191985797616E-3</v>
      </c>
      <c r="J42" s="73">
        <f>VLOOKUP(F9&amp;F12,Feuil4!C:LK,42,FALSE)</f>
        <v>2</v>
      </c>
      <c r="K42" s="73">
        <f>VLOOKUP(F9&amp;F12,Feuil4!C:LK,43,FALSE)</f>
        <v>112</v>
      </c>
      <c r="L42" s="35"/>
      <c r="M42" s="36"/>
      <c r="N42" s="2"/>
      <c r="O42" s="2" t="e">
        <f>(COUNTIFS(#REF!,'Par Territoire'!$G42)/(COUNTIFS(#REF!,"&lt;&gt;")))</f>
        <v>#REF!</v>
      </c>
      <c r="Q42" s="2" t="e">
        <f>COUNTIFS(#REF!,'Par Territoire'!$F$9,#REF!,'Par Territoire'!$G42)</f>
        <v>#REF!</v>
      </c>
      <c r="R42" s="2" t="e">
        <f>(COUNTIFS(#REF!,'Par Territoire'!$F$12,#REF!,'Par Territoire'!$G42))</f>
        <v>#REF!</v>
      </c>
      <c r="S42" s="2" t="e">
        <f>(COUNTIFS(#REF!,'Par Territoire'!$G42))</f>
        <v>#REF!</v>
      </c>
    </row>
    <row r="43" spans="1:19" x14ac:dyDescent="0.25">
      <c r="G43" s="15" t="s">
        <v>73</v>
      </c>
      <c r="H43" s="22">
        <f>VLOOKUP(F9&amp;F12,Feuil4!C:LK,44,FALSE)</f>
        <v>5.5423594615993665E-3</v>
      </c>
      <c r="I43" s="22">
        <f>VLOOKUP(F9&amp;F12,Feuil4!C:LK,45,FALSE)</f>
        <v>2.4093329951813342E-3</v>
      </c>
      <c r="J43" s="73">
        <f>VLOOKUP(F9&amp;F12,Feuil4!C:LK,46,FALSE)</f>
        <v>7</v>
      </c>
      <c r="K43" s="73">
        <f>VLOOKUP(F9&amp;F12,Feuil4!C:LK,47,FALSE)</f>
        <v>38</v>
      </c>
      <c r="L43" s="35"/>
      <c r="M43" s="36"/>
      <c r="N43" s="2"/>
      <c r="O43" s="2" t="e">
        <f>(COUNTIFS(#REF!,'Par Territoire'!$G43)/(COUNTIFS(#REF!,"&lt;&gt;")))</f>
        <v>#REF!</v>
      </c>
      <c r="Q43" s="2" t="e">
        <f>COUNTIFS(#REF!,'Par Territoire'!$F$9,#REF!,'Par Territoire'!$G43)</f>
        <v>#REF!</v>
      </c>
      <c r="R43" s="2" t="e">
        <f>(COUNTIFS(#REF!,'Par Territoire'!$F$12,#REF!,'Par Territoire'!$G43))</f>
        <v>#REF!</v>
      </c>
      <c r="S43" s="2" t="e">
        <f>(COUNTIFS(#REF!,'Par Territoire'!$G43))</f>
        <v>#REF!</v>
      </c>
    </row>
    <row r="44" spans="1:19" x14ac:dyDescent="0.25">
      <c r="G44" s="15" t="s">
        <v>71</v>
      </c>
      <c r="H44" s="22">
        <f>VLOOKUP(F9&amp;F12,Feuil4!C:LK,48,FALSE)</f>
        <v>0</v>
      </c>
      <c r="I44" s="22">
        <f>VLOOKUP(F9&amp;F12,Feuil4!C:LK,49,FALSE)</f>
        <v>6.3403499873192998E-5</v>
      </c>
      <c r="J44" s="73">
        <f>VLOOKUP(F9&amp;F12,Feuil4!C:LK,50,FALSE)</f>
        <v>0</v>
      </c>
      <c r="K44" s="73">
        <f>VLOOKUP(F9&amp;F12,Feuil4!C:LK,51,FALSE)</f>
        <v>1</v>
      </c>
      <c r="L44" s="35"/>
      <c r="M44" s="36"/>
      <c r="N44" s="2"/>
      <c r="O44" s="2" t="e">
        <f>(COUNTIFS(#REF!,'Par Territoire'!$G44)/(COUNTIFS(#REF!,"&lt;&gt;")))</f>
        <v>#REF!</v>
      </c>
      <c r="Q44" s="2" t="e">
        <f>COUNTIFS(#REF!,'Par Territoire'!$F$9,#REF!,'Par Territoire'!$G44)</f>
        <v>#REF!</v>
      </c>
      <c r="R44" s="2" t="e">
        <f>(COUNTIFS(#REF!,'Par Territoire'!$F$12,#REF!,'Par Territoire'!$G44))</f>
        <v>#REF!</v>
      </c>
      <c r="S44" s="2" t="e">
        <f>(COUNTIFS(#REF!,'Par Territoire'!$G44))</f>
        <v>#REF!</v>
      </c>
    </row>
    <row r="45" spans="1:19" x14ac:dyDescent="0.25">
      <c r="G45" s="4"/>
      <c r="H45" s="11"/>
      <c r="I45" s="2"/>
      <c r="J45" s="5"/>
      <c r="K45" s="33"/>
      <c r="L45" s="34"/>
      <c r="M45" s="34"/>
      <c r="N45" s="34"/>
    </row>
    <row r="46" spans="1:19" ht="6" customHeight="1" x14ac:dyDescent="0.25">
      <c r="I46" s="2"/>
      <c r="L46" s="2"/>
    </row>
    <row r="47" spans="1:19" ht="6" customHeight="1" x14ac:dyDescent="0.25">
      <c r="I47" s="2"/>
      <c r="L47" s="2"/>
    </row>
    <row r="48" spans="1:19" x14ac:dyDescent="0.25">
      <c r="G48" s="4" t="s">
        <v>33</v>
      </c>
      <c r="H48" s="25">
        <f>VLOOKUP(F9&amp;F12,Feuil4!C:LK,52,FALSE)</f>
        <v>0.43795620437956206</v>
      </c>
      <c r="I48" s="2"/>
      <c r="J48" s="5" t="s">
        <v>1</v>
      </c>
      <c r="K48" s="25">
        <f>VLOOKUP(F9&amp;F12,Feuil4!C:LK,58,FALSE)</f>
        <v>0.33457402812241521</v>
      </c>
      <c r="L48" s="2"/>
    </row>
    <row r="49" spans="3:12" ht="6" customHeight="1" x14ac:dyDescent="0.25">
      <c r="H49" s="23"/>
      <c r="I49" s="2"/>
      <c r="K49" s="23"/>
      <c r="L49" s="2"/>
    </row>
    <row r="50" spans="3:12" x14ac:dyDescent="0.25">
      <c r="G50" s="4" t="s">
        <v>34</v>
      </c>
      <c r="H50" s="25">
        <f>VLOOKUP(F9&amp;F12,Feuil4!C:LK,53,FALSE)</f>
        <v>9.514598540145986</v>
      </c>
      <c r="I50" s="2"/>
      <c r="J50" s="5" t="s">
        <v>1</v>
      </c>
      <c r="K50" s="25">
        <f>VLOOKUP(F9&amp;F12,Feuil4!C:LK,59,FALSE)</f>
        <v>8.0897435897435894</v>
      </c>
      <c r="L50" s="2"/>
    </row>
    <row r="51" spans="3:12" ht="6" customHeight="1" x14ac:dyDescent="0.25">
      <c r="H51" s="23"/>
      <c r="I51" s="2"/>
      <c r="K51" s="23"/>
      <c r="L51" s="2"/>
    </row>
    <row r="52" spans="3:12" ht="6" customHeight="1" x14ac:dyDescent="0.25">
      <c r="H52" s="23"/>
      <c r="I52" s="2"/>
      <c r="K52" s="23"/>
      <c r="L52" s="2"/>
    </row>
    <row r="53" spans="3:12" x14ac:dyDescent="0.25">
      <c r="G53" s="4" t="s">
        <v>35</v>
      </c>
      <c r="H53" s="25">
        <f>VLOOKUP(F9&amp;F12,Feuil4!C:LK,54,FALSE)</f>
        <v>9.4890510948905105E-2</v>
      </c>
      <c r="I53" s="2"/>
      <c r="J53" s="5" t="s">
        <v>1</v>
      </c>
      <c r="K53" s="25">
        <f>VLOOKUP(F9&amp;F12,Feuil4!C:LK,60,FALSE)</f>
        <v>6.3275434243176179E-2</v>
      </c>
      <c r="L53" s="2"/>
    </row>
    <row r="54" spans="3:12" ht="6" customHeight="1" x14ac:dyDescent="0.25">
      <c r="H54" s="23"/>
      <c r="I54" s="2"/>
      <c r="K54" s="23"/>
      <c r="L54" s="2"/>
    </row>
    <row r="55" spans="3:12" x14ac:dyDescent="0.25">
      <c r="G55" s="4" t="s">
        <v>36</v>
      </c>
      <c r="H55" s="25">
        <f>VLOOKUP(F9&amp;F12,Feuil4!C:LK,55,FALSE)</f>
        <v>1.7664233576642336</v>
      </c>
      <c r="I55" s="2"/>
      <c r="J55" s="5" t="s">
        <v>1</v>
      </c>
      <c r="K55" s="25">
        <f>VLOOKUP(F9&amp;F12,Feuil4!C:LK,61,FALSE)</f>
        <v>1.6683209263854426</v>
      </c>
      <c r="L55" s="2"/>
    </row>
    <row r="56" spans="3:12" ht="6" customHeight="1" x14ac:dyDescent="0.25">
      <c r="H56" s="23"/>
      <c r="I56" s="2"/>
      <c r="K56" s="23"/>
      <c r="L56" s="2"/>
    </row>
    <row r="57" spans="3:12" ht="6" customHeight="1" x14ac:dyDescent="0.25">
      <c r="H57" s="23"/>
      <c r="I57" s="2"/>
      <c r="K57" s="23"/>
      <c r="L57" s="2"/>
    </row>
    <row r="58" spans="3:12" x14ac:dyDescent="0.25">
      <c r="G58" s="4" t="s">
        <v>50</v>
      </c>
      <c r="H58" s="25">
        <f>VLOOKUP(F9&amp;F12,Feuil4!C:LK,56,FALSE)</f>
        <v>2.1897810218978103E-2</v>
      </c>
      <c r="I58" s="2"/>
      <c r="J58" s="5" t="s">
        <v>1</v>
      </c>
      <c r="K58" s="25">
        <f>VLOOKUP(F9&amp;F12,Feuil4!C:LK,62,FALSE)</f>
        <v>6.2034739454094297E-3</v>
      </c>
      <c r="L58" s="2"/>
    </row>
    <row r="59" spans="3:12" ht="6" customHeight="1" x14ac:dyDescent="0.25">
      <c r="H59" s="23"/>
      <c r="I59" s="2"/>
      <c r="K59" s="23"/>
      <c r="L59" s="2"/>
    </row>
    <row r="60" spans="3:12" x14ac:dyDescent="0.25">
      <c r="G60" s="4" t="s">
        <v>51</v>
      </c>
      <c r="H60" s="25">
        <f>VLOOKUP(F9&amp;F12,Feuil4!C:LK,57,FALSE)</f>
        <v>0.54744525547445255</v>
      </c>
      <c r="I60" s="2"/>
      <c r="J60" s="5" t="s">
        <v>1</v>
      </c>
      <c r="K60" s="25">
        <f>VLOOKUP(F9&amp;F12,Feuil4!C:LK,63,FALSE)</f>
        <v>0.13399503722084366</v>
      </c>
      <c r="L60" s="2"/>
    </row>
    <row r="61" spans="3:12" x14ac:dyDescent="0.25">
      <c r="G61" s="4"/>
      <c r="H61" s="37"/>
      <c r="I61" s="2" t="e">
        <f>AVERAGEIFS(#REF!,#REF!,'Par Territoire'!F9)</f>
        <v>#REF!</v>
      </c>
      <c r="J61" s="5"/>
      <c r="K61" s="37"/>
      <c r="L61" s="2"/>
    </row>
    <row r="62" spans="3:12" ht="15.75" thickBot="1" x14ac:dyDescent="0.3">
      <c r="G62" s="4"/>
      <c r="H62" s="5"/>
      <c r="I62" s="37"/>
      <c r="J62" s="2"/>
    </row>
    <row r="63" spans="3:12" x14ac:dyDescent="0.25">
      <c r="C63" s="38"/>
      <c r="D63" s="38"/>
      <c r="E63" s="38"/>
      <c r="F63" s="38"/>
      <c r="G63" s="51" t="s">
        <v>95</v>
      </c>
      <c r="H63" s="123" t="s">
        <v>90</v>
      </c>
      <c r="I63" s="124"/>
      <c r="J63" s="123" t="s">
        <v>90</v>
      </c>
      <c r="K63" s="124"/>
      <c r="L63" s="2"/>
    </row>
    <row r="64" spans="3:12" ht="15.75" thickBot="1" x14ac:dyDescent="0.3">
      <c r="G64" s="12"/>
      <c r="H64" s="54" t="s">
        <v>44</v>
      </c>
      <c r="I64" s="55" t="s">
        <v>1</v>
      </c>
      <c r="J64" s="54" t="s">
        <v>44</v>
      </c>
      <c r="K64" s="55" t="s">
        <v>1</v>
      </c>
      <c r="L64" s="2"/>
    </row>
    <row r="65" spans="2:29" x14ac:dyDescent="0.25">
      <c r="G65" s="15" t="s">
        <v>83</v>
      </c>
      <c r="H65" s="52">
        <f>VLOOKUP(F9&amp;F12,Feuil4!C:LK,64,FALSE)</f>
        <v>0.24520069808027922</v>
      </c>
      <c r="I65" s="53">
        <f>VLOOKUP(F9&amp;F12,Feuil4!C:LK,65,FALSE)</f>
        <v>0.20071047957371227</v>
      </c>
      <c r="J65" s="102">
        <f>VLOOKUP(F9&amp;F12,Feuil4!C:LK,66,FALSE)</f>
        <v>281</v>
      </c>
      <c r="K65" s="103">
        <f>VLOOKUP(F9&amp;F12,Feuil4!C:LK,67,FALSE)</f>
        <v>1921</v>
      </c>
      <c r="L65" s="32"/>
      <c r="M65" s="32"/>
      <c r="N65" s="32"/>
      <c r="O65" s="32" t="e">
        <f>COUNTIFS(#REF!,'Par Territoire'!$G65,#REF!,"MCO",#REF!,0)/COUNTIFS(#REF!,"MCO",#REF!,0)</f>
        <v>#REF!</v>
      </c>
      <c r="P65" s="2" t="e">
        <f>COUNTIFS(#REF!,'Par Territoire'!$F$9,#REF!,'Par Territoire'!$F$12,#REF!,'Par Territoire'!$G65,#REF!,"MCO",#REF!,0)</f>
        <v>#REF!</v>
      </c>
      <c r="Q65" s="2" t="e">
        <f>COUNTIFS(#REF!,'Par Territoire'!$F$9,#REF!,'Par Territoire'!$G65,#REF!,"MCO",#REF!,0)</f>
        <v>#REF!</v>
      </c>
      <c r="R65" s="2" t="e">
        <f>COUNTIFS(#REF!,'Par Territoire'!$F$12,#REF!,'Par Territoire'!$G65,#REF!,"MCO",#REF!,0)</f>
        <v>#REF!</v>
      </c>
      <c r="S65" s="2" t="e">
        <f>COUNTIFS(#REF!,'Par Territoire'!$G65,#REF!,"MCO",#REF!,0)</f>
        <v>#REF!</v>
      </c>
      <c r="T65" s="2"/>
      <c r="U65" s="2"/>
      <c r="V65" s="2"/>
      <c r="W65" s="2"/>
      <c r="X65" s="2"/>
    </row>
    <row r="66" spans="2:29" x14ac:dyDescent="0.25">
      <c r="G66" s="15" t="s">
        <v>80</v>
      </c>
      <c r="H66" s="41">
        <f>VLOOKUP(F9&amp;F12,Feuil4!C:LK,68,FALSE)</f>
        <v>0.17626527050610821</v>
      </c>
      <c r="I66" s="42">
        <f>VLOOKUP(F9&amp;F12,Feuil4!C:LK,69,FALSE)</f>
        <v>0.19276982551457528</v>
      </c>
      <c r="J66" s="102">
        <f>VLOOKUP(F9&amp;F12,Feuil4!C:LK,70,FALSE)</f>
        <v>202</v>
      </c>
      <c r="K66" s="103">
        <f>VLOOKUP(F9&amp;F12,Feuil4!C:LK,71,FALSE)</f>
        <v>1845</v>
      </c>
      <c r="L66" s="32"/>
      <c r="M66" s="32"/>
      <c r="N66" s="32"/>
      <c r="O66" s="32" t="e">
        <f>COUNTIFS(#REF!,'Par Territoire'!$G66,#REF!,"MCO",#REF!,0)/COUNTIFS(#REF!,"MCO",#REF!,0)</f>
        <v>#REF!</v>
      </c>
      <c r="P66" s="2" t="e">
        <f>COUNTIFS(#REF!,'Par Territoire'!$F$9,#REF!,'Par Territoire'!$F$12,#REF!,'Par Territoire'!$G66,#REF!,"MCO",#REF!,0)</f>
        <v>#REF!</v>
      </c>
      <c r="Q66" s="2" t="e">
        <f>COUNTIFS(#REF!,'Par Territoire'!$F$9,#REF!,'Par Territoire'!$G66,#REF!,"MCO",#REF!,0)</f>
        <v>#REF!</v>
      </c>
      <c r="R66" s="2" t="e">
        <f>COUNTIFS(#REF!,'Par Territoire'!$F$12,#REF!,'Par Territoire'!$G66,#REF!,"MCO",#REF!,0)</f>
        <v>#REF!</v>
      </c>
      <c r="S66" s="2" t="e">
        <f>COUNTIFS(#REF!,'Par Territoire'!$G66,#REF!,"MCO",#REF!,0)</f>
        <v>#REF!</v>
      </c>
      <c r="T66" s="2"/>
      <c r="U66" s="2"/>
      <c r="V66" s="2"/>
      <c r="W66" s="2"/>
      <c r="X66" s="2"/>
    </row>
    <row r="67" spans="2:29" x14ac:dyDescent="0.25">
      <c r="G67" s="15" t="s">
        <v>84</v>
      </c>
      <c r="H67" s="41">
        <f>VLOOKUP(F9&amp;F12,Feuil4!C:LK,72,FALSE)</f>
        <v>5.4101221640488653E-2</v>
      </c>
      <c r="I67" s="42">
        <f>VLOOKUP(F9&amp;F12,Feuil4!C:LK,73,FALSE)</f>
        <v>6.0913175216800751E-2</v>
      </c>
      <c r="J67" s="102">
        <f>VLOOKUP(F9&amp;F12,Feuil4!C:LK,74,FALSE)</f>
        <v>62</v>
      </c>
      <c r="K67" s="103">
        <f>VLOOKUP(F9&amp;F12,Feuil4!C:LK,75,FALSE)</f>
        <v>583</v>
      </c>
      <c r="L67" s="32"/>
      <c r="M67" s="32"/>
      <c r="N67" s="32"/>
      <c r="O67" s="32" t="e">
        <f>COUNTIFS(#REF!,'Par Territoire'!$G67,#REF!,"MCO",#REF!,0)/COUNTIFS(#REF!,"MCO",#REF!,0)</f>
        <v>#REF!</v>
      </c>
      <c r="P67" s="2" t="e">
        <f>COUNTIFS(#REF!,'Par Territoire'!$F$9,#REF!,'Par Territoire'!$F$12,#REF!,'Par Territoire'!$G67,#REF!,"MCO",#REF!,0)</f>
        <v>#REF!</v>
      </c>
      <c r="Q67" s="2" t="e">
        <f>COUNTIFS(#REF!,'Par Territoire'!$F$9,#REF!,'Par Territoire'!$G67,#REF!,"MCO",#REF!,0)</f>
        <v>#REF!</v>
      </c>
      <c r="R67" s="2" t="e">
        <f>COUNTIFS(#REF!,'Par Territoire'!$F$12,#REF!,'Par Territoire'!$G67,#REF!,"MCO",#REF!,0)</f>
        <v>#REF!</v>
      </c>
      <c r="S67" s="2" t="e">
        <f>COUNTIFS(#REF!,'Par Territoire'!$G67,#REF!,"MCO",#REF!,0)</f>
        <v>#REF!</v>
      </c>
      <c r="T67" s="2"/>
      <c r="U67" s="2"/>
      <c r="V67" s="2"/>
      <c r="W67" s="2"/>
      <c r="X67" s="2"/>
    </row>
    <row r="68" spans="2:29" x14ac:dyDescent="0.25">
      <c r="C68" s="64"/>
      <c r="D68" s="64"/>
      <c r="E68" s="64"/>
      <c r="F68" s="64"/>
      <c r="G68" s="15" t="s">
        <v>82</v>
      </c>
      <c r="H68" s="41">
        <f>VLOOKUP(F9&amp;F12,Feuil4!C:LK,76,FALSE)</f>
        <v>4.9738219895287955E-2</v>
      </c>
      <c r="I68" s="42">
        <f>VLOOKUP(F9&amp;F12,Feuil4!C:LK,77,FALSE)</f>
        <v>5.9136976282520112E-2</v>
      </c>
      <c r="J68" s="102">
        <f>VLOOKUP(F9&amp;F12,Feuil4!C:LK,78,FALSE)</f>
        <v>57</v>
      </c>
      <c r="K68" s="103">
        <f>VLOOKUP(F9&amp;F12,Feuil4!C:LK,79,FALSE)</f>
        <v>566</v>
      </c>
      <c r="L68" s="32"/>
      <c r="M68" s="32"/>
      <c r="N68" s="32"/>
      <c r="O68" s="32" t="e">
        <f>COUNTIFS(#REF!,'Par Territoire'!$G68,#REF!,"MCO",#REF!,0)/COUNTIFS(#REF!,"MCO",#REF!,0)</f>
        <v>#REF!</v>
      </c>
      <c r="P68" s="2" t="e">
        <f>COUNTIFS(#REF!,'Par Territoire'!$F$9,#REF!,'Par Territoire'!$F$12,#REF!,'Par Territoire'!$G68,#REF!,"MCO",#REF!,0)</f>
        <v>#REF!</v>
      </c>
      <c r="Q68" s="2" t="e">
        <f>COUNTIFS(#REF!,'Par Territoire'!$F$9,#REF!,'Par Territoire'!$G68,#REF!,"MCO",#REF!,0)</f>
        <v>#REF!</v>
      </c>
      <c r="R68" s="2" t="e">
        <f>COUNTIFS(#REF!,'Par Territoire'!$F$12,#REF!,'Par Territoire'!$G68,#REF!,"MCO",#REF!,0)</f>
        <v>#REF!</v>
      </c>
      <c r="S68" s="2" t="e">
        <f>COUNTIFS(#REF!,'Par Territoire'!$G68,#REF!,"MCO",#REF!,0)</f>
        <v>#REF!</v>
      </c>
      <c r="T68" s="2"/>
      <c r="U68" s="2"/>
      <c r="V68" s="2"/>
      <c r="W68" s="2"/>
      <c r="X68" s="2"/>
    </row>
    <row r="69" spans="2:29" x14ac:dyDescent="0.25">
      <c r="B69" s="45"/>
      <c r="C69" s="45"/>
      <c r="D69" s="45"/>
      <c r="E69" s="45"/>
      <c r="F69" s="45"/>
      <c r="G69" s="15" t="s">
        <v>78</v>
      </c>
      <c r="H69" s="41">
        <f>VLOOKUP(F9&amp;F12,Feuil4!C:LK,80,FALSE)</f>
        <v>4.712041884816754E-2</v>
      </c>
      <c r="I69" s="42">
        <f>VLOOKUP(F9&amp;F12,Feuil4!C:LK,81,FALSE)</f>
        <v>5.1718733674642151E-2</v>
      </c>
      <c r="J69" s="102">
        <f>VLOOKUP(F9&amp;F12,Feuil4!C:LK,82,FALSE)</f>
        <v>54</v>
      </c>
      <c r="K69" s="103">
        <f>VLOOKUP(F9&amp;F12,Feuil4!C:LK,83,FALSE)</f>
        <v>495</v>
      </c>
      <c r="L69" s="32"/>
      <c r="M69" s="32"/>
      <c r="N69" s="32"/>
      <c r="O69" s="32" t="e">
        <f>COUNTIFS(#REF!,'Par Territoire'!$G69,#REF!,"MCO",#REF!,0)/COUNTIFS(#REF!,"MCO",#REF!,0)</f>
        <v>#REF!</v>
      </c>
      <c r="P69" s="2" t="e">
        <f>COUNTIFS(#REF!,'Par Territoire'!$F$9,#REF!,'Par Territoire'!$F$12,#REF!,'Par Territoire'!$G69,#REF!,"MCO",#REF!,0)</f>
        <v>#REF!</v>
      </c>
      <c r="Q69" s="2" t="e">
        <f>COUNTIFS(#REF!,'Par Territoire'!$F$9,#REF!,'Par Territoire'!$G69,#REF!,"MCO",#REF!,0)</f>
        <v>#REF!</v>
      </c>
      <c r="R69" s="2" t="e">
        <f>COUNTIFS(#REF!,'Par Territoire'!$F$12,#REF!,'Par Territoire'!$G69,#REF!,"MCO",#REF!,0)</f>
        <v>#REF!</v>
      </c>
      <c r="S69" s="2" t="e">
        <f>COUNTIFS(#REF!,'Par Territoire'!$G69,#REF!,"MCO",#REF!,0)</f>
        <v>#REF!</v>
      </c>
      <c r="T69" s="2"/>
      <c r="U69" s="2"/>
      <c r="V69" s="2"/>
      <c r="W69" s="2"/>
      <c r="X69" s="2"/>
    </row>
    <row r="70" spans="2:29" x14ac:dyDescent="0.25">
      <c r="G70" s="15" t="s">
        <v>79</v>
      </c>
      <c r="H70" s="41">
        <f>VLOOKUP(F9&amp;F12,Feuil4!C:LK,84,FALSE)</f>
        <v>4.3630017452006981E-2</v>
      </c>
      <c r="I70" s="42">
        <f>VLOOKUP(F9&amp;F12,Feuil4!C:LK,85,FALSE)</f>
        <v>3.8658447393166859E-2</v>
      </c>
      <c r="J70" s="102">
        <f>VLOOKUP(F9&amp;F12,Feuil4!C:LK,86,FALSE)</f>
        <v>50</v>
      </c>
      <c r="K70" s="103">
        <f>VLOOKUP(F9&amp;F12,Feuil4!C:LK,87,FALSE)</f>
        <v>370</v>
      </c>
      <c r="L70" s="32"/>
      <c r="M70" s="32"/>
      <c r="N70" s="32"/>
      <c r="O70" s="32" t="e">
        <f>COUNTIFS(#REF!,'Par Territoire'!$G70,#REF!,"MCO",#REF!,0)/COUNTIFS(#REF!,"MCO",#REF!,0)</f>
        <v>#REF!</v>
      </c>
      <c r="P70" s="2" t="e">
        <f>COUNTIFS(#REF!,'Par Territoire'!$F$9,#REF!,'Par Territoire'!$F$12,#REF!,'Par Territoire'!$G70,#REF!,"MCO",#REF!,0)</f>
        <v>#REF!</v>
      </c>
      <c r="Q70" s="2" t="e">
        <f>COUNTIFS(#REF!,'Par Territoire'!$F$9,#REF!,'Par Territoire'!$G70,#REF!,"MCO",#REF!,0)</f>
        <v>#REF!</v>
      </c>
      <c r="R70" s="2" t="e">
        <f>COUNTIFS(#REF!,'Par Territoire'!$F$12,#REF!,'Par Territoire'!$G70,#REF!,"MCO",#REF!,0)</f>
        <v>#REF!</v>
      </c>
      <c r="S70" s="2" t="e">
        <f>COUNTIFS(#REF!,'Par Territoire'!$G70,#REF!,"MCO",#REF!,0)</f>
        <v>#REF!</v>
      </c>
      <c r="T70" s="2"/>
      <c r="U70" s="2"/>
      <c r="V70" s="2"/>
      <c r="W70" s="2"/>
      <c r="X70" s="2"/>
    </row>
    <row r="71" spans="2:29" x14ac:dyDescent="0.25">
      <c r="G71" s="15" t="s">
        <v>81</v>
      </c>
      <c r="H71" s="41">
        <f>VLOOKUP(F9&amp;F12,Feuil4!C:LK,92,FALSE)</f>
        <v>2.2687609075043629E-2</v>
      </c>
      <c r="I71" s="42">
        <f>VLOOKUP(F9&amp;F12,Feuil4!C:LK,93,FALSE)</f>
        <v>3.0404346463274477E-2</v>
      </c>
      <c r="J71" s="102">
        <f>VLOOKUP(F9&amp;F12,Feuil4!C:LK,94,FALSE)</f>
        <v>26</v>
      </c>
      <c r="K71" s="103">
        <f>VLOOKUP(F9&amp;F12,Feuil4!C:LK,95,FALSE)</f>
        <v>291</v>
      </c>
      <c r="L71" s="32"/>
      <c r="M71" s="32"/>
      <c r="N71" s="32"/>
      <c r="O71" s="32" t="e">
        <f>COUNTIFS(#REF!,'Par Territoire'!$G71,#REF!,"MCO",#REF!,0)/COUNTIFS(#REF!,"MCO",#REF!,0)</f>
        <v>#REF!</v>
      </c>
      <c r="P71" s="2" t="e">
        <f>COUNTIFS(#REF!,'Par Territoire'!$F$9,#REF!,'Par Territoire'!$F$12,#REF!,'Par Territoire'!$G71,#REF!,"MCO",#REF!,0)</f>
        <v>#REF!</v>
      </c>
      <c r="Q71" s="2" t="e">
        <f>COUNTIFS(#REF!,'Par Territoire'!$F$9,#REF!,'Par Territoire'!$G71,#REF!,"MCO",#REF!,0)</f>
        <v>#REF!</v>
      </c>
      <c r="R71" s="2" t="e">
        <f>COUNTIFS(#REF!,'Par Territoire'!$F$12,#REF!,'Par Territoire'!$G71,#REF!,"MCO",#REF!,0)</f>
        <v>#REF!</v>
      </c>
      <c r="S71" s="2" t="e">
        <f>COUNTIFS(#REF!,'Par Territoire'!$G71,#REF!,"MCO",#REF!,0)</f>
        <v>#REF!</v>
      </c>
      <c r="T71" s="2"/>
      <c r="U71" s="2"/>
      <c r="V71" s="2"/>
      <c r="W71" s="2"/>
      <c r="X71" s="2"/>
    </row>
    <row r="72" spans="2:29" x14ac:dyDescent="0.25">
      <c r="G72" s="15" t="s">
        <v>141</v>
      </c>
      <c r="H72" s="41">
        <f>VLOOKUP(F9&amp;F12,Feuil4!C:LK,96,FALSE)</f>
        <v>5.6719022687609075E-2</v>
      </c>
      <c r="I72" s="42">
        <f>VLOOKUP(F9&amp;F12,Feuil4!C:LK,97,FALSE)</f>
        <v>5.3912861769929994E-2</v>
      </c>
      <c r="J72" s="102">
        <f>VLOOKUP(F9&amp;F12,Feuil4!C:LK,98,FALSE)</f>
        <v>65</v>
      </c>
      <c r="K72" s="103">
        <f>VLOOKUP(F9&amp;F12,Feuil4!C:LK,99,FALSE)</f>
        <v>516</v>
      </c>
      <c r="L72" s="32"/>
      <c r="M72" s="32"/>
      <c r="N72" s="32"/>
      <c r="O72" s="32" t="e">
        <f>COUNTIFS(#REF!,'Par Territoire'!$G72,#REF!,"MCO",#REF!,0)/COUNTIFS(#REF!,"MCO",#REF!,0)</f>
        <v>#REF!</v>
      </c>
      <c r="P72" s="2" t="e">
        <f>COUNTIFS(#REF!,'Par Territoire'!$F$9,#REF!,'Par Territoire'!$F$12,#REF!,'Par Territoire'!$G72,#REF!,"MCO",#REF!,0)</f>
        <v>#REF!</v>
      </c>
      <c r="Q72" s="2" t="e">
        <f>COUNTIFS(#REF!,'Par Territoire'!$F$9,#REF!,'Par Territoire'!$G72,#REF!,"MCO",#REF!,0)</f>
        <v>#REF!</v>
      </c>
      <c r="R72" s="2" t="e">
        <f>COUNTIFS(#REF!,'Par Territoire'!$F$12,#REF!,'Par Territoire'!$G72,#REF!,"MCO",#REF!,0)</f>
        <v>#REF!</v>
      </c>
      <c r="S72" s="2" t="e">
        <f>COUNTIFS(#REF!,'Par Territoire'!$G72,#REF!,"MCO",#REF!,0)</f>
        <v>#REF!</v>
      </c>
      <c r="T72" s="2"/>
      <c r="U72" s="2"/>
      <c r="V72" s="2"/>
      <c r="W72" s="2"/>
      <c r="X72" s="2"/>
    </row>
    <row r="73" spans="2:29" x14ac:dyDescent="0.25">
      <c r="G73" s="15" t="s">
        <v>142</v>
      </c>
      <c r="H73" s="41">
        <f>VLOOKUP(F9&amp;F12,Feuil4!C:LK,100,FALSE)</f>
        <v>0.28359511343804539</v>
      </c>
      <c r="I73" s="42">
        <f>VLOOKUP(F9&amp;F12,Feuil4!C:LK,101,FALSE)</f>
        <v>0.28534113467767214</v>
      </c>
      <c r="J73" s="102">
        <f>VLOOKUP(F9&amp;F12,Feuil4!C:LK,102,FALSE)</f>
        <v>325</v>
      </c>
      <c r="K73" s="103">
        <f>VLOOKUP(F9&amp;F12,Feuil4!C:LK,103,FALSE)</f>
        <v>2731</v>
      </c>
      <c r="L73" s="32"/>
      <c r="M73" s="32"/>
      <c r="N73" s="32"/>
      <c r="O73" s="32" t="e">
        <f>COUNTIFS(#REF!,'Par Territoire'!$G73,#REF!,"MCO",#REF!,0)/COUNTIFS(#REF!,"MCO",#REF!,0)</f>
        <v>#REF!</v>
      </c>
      <c r="P73" s="2" t="e">
        <f>COUNTIFS(#REF!,'Par Territoire'!$F$9,#REF!,'Par Territoire'!$F$12,#REF!,'Par Territoire'!$G73,#REF!,"MCO",#REF!,0)</f>
        <v>#REF!</v>
      </c>
      <c r="Q73" s="2" t="e">
        <f>COUNTIFS(#REF!,'Par Territoire'!$F$9,#REF!,'Par Territoire'!$G73,#REF!,"MCO",#REF!,0)</f>
        <v>#REF!</v>
      </c>
      <c r="R73" s="2" t="e">
        <f>COUNTIFS(#REF!,'Par Territoire'!$F$12,#REF!,'Par Territoire'!$G73,#REF!,"MCO",#REF!,0)</f>
        <v>#REF!</v>
      </c>
      <c r="S73" s="2" t="e">
        <f>COUNTIFS(#REF!,'Par Territoire'!$G73,#REF!,"MCO",#REF!,0)</f>
        <v>#REF!</v>
      </c>
      <c r="T73" s="2"/>
      <c r="U73" s="2"/>
      <c r="V73" s="2"/>
      <c r="W73" s="2"/>
      <c r="X73" s="2"/>
    </row>
    <row r="74" spans="2:29" ht="15.75" thickBot="1" x14ac:dyDescent="0.3">
      <c r="G74" s="15" t="s">
        <v>43</v>
      </c>
      <c r="H74" s="43">
        <f>VLOOKUP(F9&amp;F12,Feuil4!C:LK,104,FALSE)</f>
        <v>2.0942408376963373E-2</v>
      </c>
      <c r="I74" s="44">
        <f>VLOOKUP(F9&amp;F12,Feuil4!C:LK,105,FALSE)</f>
        <v>2.6434019433705824E-2</v>
      </c>
      <c r="J74" s="106">
        <f>VLOOKUP(F9&amp;F12,Feuil4!C:LK,106,FALSE)</f>
        <v>24.000000000000025</v>
      </c>
      <c r="K74" s="107">
        <f>VLOOKUP(F9&amp;F12,Feuil4!C:LK,107,FALSE)</f>
        <v>164.07117437722437</v>
      </c>
      <c r="L74" s="32"/>
      <c r="M74" s="32"/>
      <c r="N74" s="32"/>
      <c r="O74" s="32" t="e">
        <f>COUNTIFS(#REF!,'Par Territoire'!$G74,#REF!,"MCO",#REF!,0)/COUNTIFS(#REF!,"MCO",#REF!,0)</f>
        <v>#REF!</v>
      </c>
      <c r="P74" s="2" t="e">
        <f>COUNTIFS(#REF!,'Par Territoire'!$F$9,#REF!,'Par Territoire'!$F$12,#REF!,'Par Territoire'!$G74,#REF!,"MCO",#REF!,0)</f>
        <v>#REF!</v>
      </c>
      <c r="Q74" s="2" t="e">
        <f>COUNTIFS(#REF!,'Par Territoire'!$F$9,#REF!,'Par Territoire'!$G74,#REF!,"MCO",#REF!,0)</f>
        <v>#REF!</v>
      </c>
      <c r="R74" s="2" t="e">
        <f>COUNTIFS(#REF!,'Par Territoire'!$F$12,#REF!,'Par Territoire'!$G74,#REF!,"MCO",#REF!,0)</f>
        <v>#REF!</v>
      </c>
      <c r="S74" s="2" t="e">
        <f>COUNTIFS(#REF!,'Par Territoire'!$G74,#REF!,"MCO",#REF!,0)</f>
        <v>#REF!</v>
      </c>
      <c r="T74" s="2"/>
      <c r="U74" s="2"/>
      <c r="V74" s="2"/>
      <c r="W74" s="2"/>
      <c r="X74" s="2"/>
    </row>
    <row r="75" spans="2:29" x14ac:dyDescent="0.25">
      <c r="G75" s="4"/>
      <c r="H75" s="37"/>
      <c r="I75" s="2"/>
      <c r="J75" s="5"/>
      <c r="K75" s="37"/>
      <c r="L75" s="2"/>
    </row>
    <row r="76" spans="2:29" hidden="1" x14ac:dyDescent="0.25">
      <c r="G76" s="4"/>
      <c r="H76" s="37"/>
      <c r="I76" s="2"/>
      <c r="J76" s="2"/>
    </row>
    <row r="77" spans="2:29" hidden="1" x14ac:dyDescent="0.25">
      <c r="C77" s="38"/>
      <c r="D77" s="38"/>
      <c r="E77" s="38"/>
      <c r="F77" s="38"/>
      <c r="G77" s="51" t="s">
        <v>94</v>
      </c>
      <c r="H77" s="123" t="s">
        <v>89</v>
      </c>
      <c r="I77" s="124"/>
      <c r="J77" s="123" t="s">
        <v>89</v>
      </c>
      <c r="K77" s="124"/>
      <c r="L77" s="2"/>
    </row>
    <row r="78" spans="2:29" hidden="1" x14ac:dyDescent="0.25">
      <c r="G78" s="12"/>
      <c r="H78" s="39" t="s">
        <v>44</v>
      </c>
      <c r="I78" s="40" t="s">
        <v>1</v>
      </c>
      <c r="J78" s="39" t="s">
        <v>44</v>
      </c>
      <c r="K78" s="40" t="s">
        <v>1</v>
      </c>
      <c r="L78" s="2"/>
    </row>
    <row r="79" spans="2:29" hidden="1" x14ac:dyDescent="0.25">
      <c r="G79" s="15" t="s">
        <v>85</v>
      </c>
      <c r="H79" s="56" t="e">
        <f>IF($F$12="Tous les ages",M79,L79)</f>
        <v>#REF!</v>
      </c>
      <c r="I79" s="57" t="e">
        <f>IF($F$12="Tous les ages",O79,N79)</f>
        <v>#REF!</v>
      </c>
      <c r="J79" s="108" t="e">
        <f>IF($F$12="Tous les ages",Q79,P79)</f>
        <v>#REF!</v>
      </c>
      <c r="K79" s="109" t="e">
        <f>IF($F$12="Tous les ages",S79,R79)</f>
        <v>#REF!</v>
      </c>
      <c r="L79" s="32" t="e">
        <f>COUNTIFS(#REF!,'Par Territoire'!$F$9,#REF!,'Par Territoire'!$F$12,#REF!,'Par Territoire'!$G79,#REF!,"MCO",#REF!,1)/COUNTIFS(#REF!,'Par Territoire'!$F$9,#REF!,'Par Territoire'!$F$12,#REF!,"MCO",#REF!,1)</f>
        <v>#REF!</v>
      </c>
      <c r="M79" s="32" t="e">
        <f>COUNTIFS(#REF!,'Par Territoire'!$F$9,#REF!,'Par Territoire'!$G79,#REF!,"MCO",#REF!,1)/COUNTIFS(#REF!,'Par Territoire'!$F$9,#REF!,"MCO",#REF!,1)</f>
        <v>#REF!</v>
      </c>
      <c r="N79" s="32" t="e">
        <f>COUNTIFS(#REF!,'Par Territoire'!$F$12,#REF!,'Par Territoire'!$G79,#REF!,"MCO",#REF!,1)/COUNTIFS(#REF!,'Par Territoire'!$F$12,#REF!,"MCO",#REF!,1)</f>
        <v>#REF!</v>
      </c>
      <c r="O79" s="32" t="e">
        <f>COUNTIFS(#REF!,'Par Territoire'!$G79,#REF!,"MCO",#REF!,1)/COUNTIFS(#REF!,"MCO",#REF!,1)</f>
        <v>#REF!</v>
      </c>
      <c r="P79" s="2" t="e">
        <f>COUNTIFS(#REF!,'Par Territoire'!$F$9,#REF!,'Par Territoire'!$F$12,#REF!,'Par Territoire'!$G79,#REF!,"MCO",#REF!,1)</f>
        <v>#REF!</v>
      </c>
      <c r="Q79" s="32" t="e">
        <f>COUNTIFS(#REF!,'Par Territoire'!$F$9,#REF!,'Par Territoire'!$G79,#REF!,"MCO",#REF!,1)</f>
        <v>#REF!</v>
      </c>
      <c r="R79" s="32" t="e">
        <f>COUNTIFS(#REF!,'Par Territoire'!$F$12,#REF!,'Par Territoire'!$G79,#REF!,"MCO",#REF!,1)</f>
        <v>#REF!</v>
      </c>
      <c r="S79" s="32" t="e">
        <f>COUNTIFS(#REF!,'Par Territoire'!$G79,#REF!,"MCO",#REF!,1)</f>
        <v>#REF!</v>
      </c>
      <c r="T79" s="32"/>
      <c r="U79" s="2"/>
      <c r="V79" s="2"/>
      <c r="W79" s="2"/>
      <c r="X79" s="2"/>
      <c r="Y79" s="2"/>
      <c r="Z79" s="2"/>
      <c r="AA79" s="2"/>
      <c r="AB79" s="2"/>
      <c r="AC79" s="2"/>
    </row>
    <row r="80" spans="2:29" hidden="1" x14ac:dyDescent="0.25">
      <c r="G80" s="15" t="s">
        <v>87</v>
      </c>
      <c r="H80" s="41" t="e">
        <f t="shared" ref="H80:H82" si="0">IF($F$12="Tous les ages",M80,L80)</f>
        <v>#REF!</v>
      </c>
      <c r="I80" s="42" t="e">
        <f t="shared" ref="I80:I82" si="1">IF($F$12="Tous les ages",O80,N80)</f>
        <v>#REF!</v>
      </c>
      <c r="J80" s="104" t="e">
        <f t="shared" ref="J80:J82" si="2">IF($F$12="Tous les ages",Q80,P80)</f>
        <v>#REF!</v>
      </c>
      <c r="K80" s="105" t="e">
        <f t="shared" ref="K80:K82" si="3">IF($F$12="Tous les ages",S80,R80)</f>
        <v>#REF!</v>
      </c>
      <c r="L80" s="32" t="e">
        <f>COUNTIFS(#REF!,'Par Territoire'!$F$9,#REF!,'Par Territoire'!$F$12,#REF!,'Par Territoire'!$G80,#REF!,"MCO",#REF!,1)/COUNTIFS(#REF!,'Par Territoire'!$F$9,#REF!,'Par Territoire'!$F$12,#REF!,"MCO",#REF!,1)</f>
        <v>#REF!</v>
      </c>
      <c r="M80" s="32" t="e">
        <f>COUNTIFS(#REF!,'Par Territoire'!$F$9,#REF!,'Par Territoire'!$G80,#REF!,"MCO",#REF!,1)/COUNTIFS(#REF!,'Par Territoire'!$F$9,#REF!,"MCO",#REF!,1)</f>
        <v>#REF!</v>
      </c>
      <c r="N80" s="32" t="e">
        <f>COUNTIFS(#REF!,'Par Territoire'!$F$12,#REF!,'Par Territoire'!$G80,#REF!,"MCO",#REF!,1)/COUNTIFS(#REF!,'Par Territoire'!$F$12,#REF!,"MCO",#REF!,1)</f>
        <v>#REF!</v>
      </c>
      <c r="O80" s="32" t="e">
        <f>COUNTIFS(#REF!,'Par Territoire'!$G80,#REF!,"MCO",#REF!,1)/COUNTIFS(#REF!,"MCO",#REF!,1)</f>
        <v>#REF!</v>
      </c>
      <c r="P80" s="2" t="e">
        <f>COUNTIFS(#REF!,'Par Territoire'!$F$9,#REF!,'Par Territoire'!$F$12,#REF!,'Par Territoire'!$G80,#REF!,"MCO",#REF!,1)</f>
        <v>#REF!</v>
      </c>
      <c r="Q80" s="32" t="e">
        <f>COUNTIFS(#REF!,'Par Territoire'!$F$9,#REF!,'Par Territoire'!$G80,#REF!,"MCO",#REF!,1)</f>
        <v>#REF!</v>
      </c>
      <c r="R80" s="32" t="e">
        <f>COUNTIFS(#REF!,'Par Territoire'!$F$12,#REF!,'Par Territoire'!$G80,#REF!,"MCO",#REF!,1)</f>
        <v>#REF!</v>
      </c>
      <c r="S80" s="32" t="e">
        <f>COUNTIFS(#REF!,'Par Territoire'!$G80,#REF!,"MCO",#REF!,1)</f>
        <v>#REF!</v>
      </c>
      <c r="T80" s="32"/>
      <c r="U80" s="2"/>
      <c r="V80" s="2"/>
      <c r="W80" s="2"/>
      <c r="X80" s="2"/>
      <c r="Y80" s="2"/>
      <c r="Z80" s="2"/>
      <c r="AA80" s="2"/>
      <c r="AB80" s="2"/>
      <c r="AC80" s="2"/>
    </row>
    <row r="81" spans="1:29" hidden="1" x14ac:dyDescent="0.25">
      <c r="G81" s="15" t="s">
        <v>88</v>
      </c>
      <c r="H81" s="41" t="e">
        <f t="shared" si="0"/>
        <v>#REF!</v>
      </c>
      <c r="I81" s="42" t="e">
        <f t="shared" si="1"/>
        <v>#REF!</v>
      </c>
      <c r="J81" s="104" t="e">
        <f t="shared" si="2"/>
        <v>#REF!</v>
      </c>
      <c r="K81" s="105" t="e">
        <f t="shared" si="3"/>
        <v>#REF!</v>
      </c>
      <c r="L81" s="32" t="e">
        <f>COUNTIFS(#REF!,'Par Territoire'!$F$9,#REF!,'Par Territoire'!$F$12,#REF!,'Par Territoire'!$G81,#REF!,"MCO",#REF!,1)/COUNTIFS(#REF!,'Par Territoire'!$F$9,#REF!,'Par Territoire'!$F$12,#REF!,"MCO",#REF!,1)</f>
        <v>#REF!</v>
      </c>
      <c r="M81" s="32" t="e">
        <f>COUNTIFS(#REF!,'Par Territoire'!$F$9,#REF!,'Par Territoire'!$G81,#REF!,"MCO",#REF!,1)/COUNTIFS(#REF!,'Par Territoire'!$F$9,#REF!,"MCO",#REF!,1)</f>
        <v>#REF!</v>
      </c>
      <c r="N81" s="32" t="e">
        <f>COUNTIFS(#REF!,'Par Territoire'!$F$12,#REF!,'Par Territoire'!$G81,#REF!,"MCO",#REF!,1)/COUNTIFS(#REF!,'Par Territoire'!$F$12,#REF!,"MCO",#REF!,1)</f>
        <v>#REF!</v>
      </c>
      <c r="O81" s="32" t="e">
        <f>COUNTIFS(#REF!,'Par Territoire'!$G81,#REF!,"MCO",#REF!,1)/COUNTIFS(#REF!,"MCO",#REF!,1)</f>
        <v>#REF!</v>
      </c>
      <c r="P81" s="2" t="e">
        <f>COUNTIFS(#REF!,'Par Territoire'!$F$9,#REF!,'Par Territoire'!$F$12,#REF!,'Par Territoire'!$G81,#REF!,"MCO",#REF!,1)</f>
        <v>#REF!</v>
      </c>
      <c r="Q81" s="32" t="e">
        <f>COUNTIFS(#REF!,'Par Territoire'!$F$9,#REF!,'Par Territoire'!$G81,#REF!,"MCO",#REF!,1)</f>
        <v>#REF!</v>
      </c>
      <c r="R81" s="32" t="e">
        <f>COUNTIFS(#REF!,'Par Territoire'!$F$12,#REF!,'Par Territoire'!$G81,#REF!,"MCO",#REF!,1)</f>
        <v>#REF!</v>
      </c>
      <c r="S81" s="32" t="e">
        <f>COUNTIFS(#REF!,'Par Territoire'!$G81,#REF!,"MCO",#REF!,1)</f>
        <v>#REF!</v>
      </c>
      <c r="T81" s="32"/>
      <c r="U81" s="2"/>
      <c r="V81" s="2"/>
      <c r="W81" s="2"/>
      <c r="X81" s="2"/>
      <c r="Y81" s="2"/>
      <c r="Z81" s="2"/>
      <c r="AA81" s="2"/>
      <c r="AB81" s="2"/>
      <c r="AC81" s="2"/>
    </row>
    <row r="82" spans="1:29" hidden="1" x14ac:dyDescent="0.25">
      <c r="G82" s="15" t="s">
        <v>86</v>
      </c>
      <c r="H82" s="41" t="e">
        <f t="shared" si="0"/>
        <v>#REF!</v>
      </c>
      <c r="I82" s="42" t="e">
        <f t="shared" si="1"/>
        <v>#REF!</v>
      </c>
      <c r="J82" s="104" t="e">
        <f t="shared" si="2"/>
        <v>#REF!</v>
      </c>
      <c r="K82" s="105" t="e">
        <f t="shared" si="3"/>
        <v>#REF!</v>
      </c>
      <c r="L82" s="32" t="e">
        <f>COUNTIFS(#REF!,'Par Territoire'!$F$9,#REF!,'Par Territoire'!$F$12,#REF!,'Par Territoire'!$G82,#REF!,"MCO",#REF!,1)/COUNTIFS(#REF!,'Par Territoire'!$F$9,#REF!,'Par Territoire'!$F$12,#REF!,"MCO",#REF!,1)</f>
        <v>#REF!</v>
      </c>
      <c r="M82" s="32" t="e">
        <f>COUNTIFS(#REF!,'Par Territoire'!$F$9,#REF!,'Par Territoire'!$G82,#REF!,"MCO",#REF!,1)/COUNTIFS(#REF!,'Par Territoire'!$F$9,#REF!,"MCO",#REF!,1)</f>
        <v>#REF!</v>
      </c>
      <c r="N82" s="32" t="e">
        <f>COUNTIFS(#REF!,'Par Territoire'!$F$12,#REF!,'Par Territoire'!$G82,#REF!,"MCO",#REF!,1)/COUNTIFS(#REF!,'Par Territoire'!$F$12,#REF!,"MCO",#REF!,1)</f>
        <v>#REF!</v>
      </c>
      <c r="O82" s="32" t="e">
        <f>COUNTIFS(#REF!,'Par Territoire'!$G82,#REF!,"MCO",#REF!,1)/COUNTIFS(#REF!,"MCO",#REF!,1)</f>
        <v>#REF!</v>
      </c>
      <c r="P82" s="2" t="e">
        <f>COUNTIFS(#REF!,'Par Territoire'!$F$9,#REF!,'Par Territoire'!$F$12,#REF!,'Par Territoire'!$G82,#REF!,"MCO",#REF!,1)</f>
        <v>#REF!</v>
      </c>
      <c r="Q82" s="32" t="e">
        <f>COUNTIFS(#REF!,'Par Territoire'!$F$9,#REF!,'Par Territoire'!$G82,#REF!,"MCO",#REF!,1)</f>
        <v>#REF!</v>
      </c>
      <c r="R82" s="32" t="e">
        <f>COUNTIFS(#REF!,'Par Territoire'!$F$12,#REF!,'Par Territoire'!$G82,#REF!,"MCO",#REF!,1)</f>
        <v>#REF!</v>
      </c>
      <c r="S82" s="32" t="e">
        <f>COUNTIFS(#REF!,'Par Territoire'!$G82,#REF!,"MCO",#REF!,1)</f>
        <v>#REF!</v>
      </c>
      <c r="T82" s="3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75" hidden="1" thickBot="1" x14ac:dyDescent="0.3">
      <c r="G83" s="15" t="s">
        <v>43</v>
      </c>
      <c r="H83" s="58" t="e">
        <f>1-SUM(H79:H82)</f>
        <v>#REF!</v>
      </c>
      <c r="I83" s="59" t="e">
        <f>1-SUM(I79:I82)</f>
        <v>#REF!</v>
      </c>
      <c r="J83" s="110" t="e">
        <f>J79*H83/H79</f>
        <v>#REF!</v>
      </c>
      <c r="K83" s="111" t="e">
        <f>K79*I83/I79</f>
        <v>#REF!</v>
      </c>
      <c r="L83" s="32" t="e">
        <f>COUNTIFS(#REF!,'Par Territoire'!$F$9,#REF!,'Par Territoire'!$F$12,#REF!,'Par Territoire'!$G83,#REF!,"MCO")/COUNTIFS(#REF!,'Par Territoire'!$F$9,#REF!,'Par Territoire'!$F$12,#REF!,"MCO")</f>
        <v>#REF!</v>
      </c>
      <c r="M83" s="32" t="e">
        <f>COUNTIFS(#REF!,'Par Territoire'!$F$9,#REF!,'Par Territoire'!$G83,#REF!,"MCO")/COUNTIFS(#REF!,'Par Territoire'!$F$9,#REF!,"MCO")</f>
        <v>#REF!</v>
      </c>
      <c r="N83" s="32" t="e">
        <f>COUNTIFS(#REF!,'Par Territoire'!$F$12,#REF!,'Par Territoire'!$G83,#REF!,"MCO")/COUNTIFS(#REF!,'Par Territoire'!$F$12,#REF!,"MCO")</f>
        <v>#REF!</v>
      </c>
      <c r="O83" s="32" t="e">
        <f>COUNTIFS(#REF!,'Par Territoire'!$G83,#REF!,"MCO")/COUNTIFS(#REF!,"MCO")</f>
        <v>#REF!</v>
      </c>
      <c r="P83" s="2" t="e">
        <f>COUNTIFS(#REF!,'Par Territoire'!$F$9,#REF!,'Par Territoire'!$F$12,#REF!,'Par Territoire'!$G83,#REF!,"MCO",#REF!,1)</f>
        <v>#REF!</v>
      </c>
      <c r="Q83" s="32" t="e">
        <f>COUNTIFS(#REF!,'Par Territoire'!$F$9,#REF!,'Par Territoire'!$G83,#REF!,"MCO",#REF!,1)</f>
        <v>#REF!</v>
      </c>
      <c r="R83" s="32" t="e">
        <f>COUNTIFS(#REF!,'Par Territoire'!$F$12,#REF!,'Par Territoire'!$G83,#REF!,"MCO",#REF!,1)</f>
        <v>#REF!</v>
      </c>
      <c r="S83" s="32" t="e">
        <f>COUNTIFS(#REF!,'Par Territoire'!$G83,#REF!,"MCO",#REF!,1)</f>
        <v>#REF!</v>
      </c>
    </row>
    <row r="84" spans="1:29" ht="9.75" hidden="1" customHeight="1" x14ac:dyDescent="0.25">
      <c r="G84" s="15"/>
      <c r="H84" s="11"/>
      <c r="I84" s="2"/>
      <c r="J84" s="5"/>
      <c r="K84" s="11"/>
      <c r="L84" s="2"/>
    </row>
    <row r="85" spans="1:29" ht="15.75" x14ac:dyDescent="0.25">
      <c r="A85" s="14" t="s">
        <v>37</v>
      </c>
      <c r="B85" s="10"/>
      <c r="C85" s="10"/>
      <c r="D85" s="10"/>
      <c r="E85" s="10"/>
      <c r="F85" s="10"/>
      <c r="G85" s="10"/>
      <c r="H85" s="10"/>
      <c r="I85" s="30"/>
      <c r="J85" s="10"/>
      <c r="K85" s="10"/>
      <c r="L85" s="10"/>
      <c r="M85" s="10"/>
      <c r="N85" s="10"/>
    </row>
    <row r="86" spans="1:29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pans="1:29" x14ac:dyDescent="0.25">
      <c r="A87" s="12"/>
      <c r="B87" s="65" t="s">
        <v>39</v>
      </c>
      <c r="C87" s="65"/>
      <c r="D87" s="65"/>
      <c r="E87" s="12"/>
      <c r="F87" s="12"/>
      <c r="G87" s="12"/>
      <c r="H87" s="65" t="s">
        <v>69</v>
      </c>
      <c r="I87" s="65"/>
      <c r="J87" s="65"/>
      <c r="K87" s="65"/>
      <c r="L87" s="65"/>
      <c r="M87" s="12"/>
      <c r="N87" s="12"/>
    </row>
    <row r="88" spans="1:29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1:29" x14ac:dyDescent="0.25">
      <c r="A89" s="12"/>
      <c r="B89" s="12"/>
      <c r="C89" s="115" t="s">
        <v>44</v>
      </c>
      <c r="D89" s="115" t="s">
        <v>1</v>
      </c>
      <c r="E89" s="112" t="s">
        <v>44</v>
      </c>
      <c r="F89" s="112" t="s">
        <v>1</v>
      </c>
      <c r="G89" s="115"/>
      <c r="H89" s="12"/>
      <c r="I89" s="12"/>
      <c r="J89" s="115" t="s">
        <v>44</v>
      </c>
      <c r="K89" s="115" t="s">
        <v>1</v>
      </c>
      <c r="L89" s="115" t="s">
        <v>44</v>
      </c>
      <c r="M89" s="115" t="s">
        <v>1</v>
      </c>
      <c r="N89" s="12"/>
    </row>
    <row r="90" spans="1:29" x14ac:dyDescent="0.25">
      <c r="A90" s="12"/>
      <c r="B90" s="15" t="s">
        <v>40</v>
      </c>
      <c r="C90" s="27">
        <f>VLOOKUP(F9&amp;F12,Feuil4!C:LK,108,FALSE)</f>
        <v>7.6642335766423361E-2</v>
      </c>
      <c r="D90" s="27">
        <f>VLOOKUP(F9&amp;F12,Feuil4!C:LK,109,FALSE)</f>
        <v>9.553349875930521E-2</v>
      </c>
      <c r="E90" s="113">
        <f>VLOOKUP(F9&amp;F12,Feuil4!C:LK,110,FALSE)</f>
        <v>21</v>
      </c>
      <c r="F90" s="113">
        <f>VLOOKUP(F9&amp;F12,Feuil4!C:LK,111,FALSE)</f>
        <v>231</v>
      </c>
      <c r="G90" s="48"/>
      <c r="H90" s="12"/>
      <c r="I90" s="15" t="s">
        <v>11</v>
      </c>
      <c r="J90" s="22">
        <f>VLOOKUP(F9&amp;F12,Feuil4!C:LK,140,FALSE)</f>
        <v>0.87226277372262773</v>
      </c>
      <c r="K90" s="22">
        <f>VLOOKUP(F9&amp;F12,Feuil4!C:LK,141,FALSE)</f>
        <v>0.10297766749379653</v>
      </c>
      <c r="L90" s="73">
        <f>VLOOKUP(F9&amp;F12,Feuil4!C:LK,142,FALSE)</f>
        <v>239</v>
      </c>
      <c r="M90" s="73">
        <f>VLOOKUP(F9&amp;F12,Feuil4!C:LK,143,FALSE)</f>
        <v>249</v>
      </c>
      <c r="N90" s="31"/>
      <c r="O90" s="31"/>
      <c r="P90" s="31"/>
      <c r="Q90" s="32"/>
      <c r="R90" s="2"/>
      <c r="S90" s="2"/>
      <c r="T90" s="2"/>
      <c r="U90" s="2"/>
    </row>
    <row r="91" spans="1:29" x14ac:dyDescent="0.25">
      <c r="A91" s="12"/>
      <c r="B91" s="15" t="s">
        <v>41</v>
      </c>
      <c r="C91" s="27">
        <f>VLOOKUP(F9&amp;F12,Feuil4!C:LK,112,FALSE)</f>
        <v>6.569343065693431E-2</v>
      </c>
      <c r="D91" s="27">
        <f>VLOOKUP(F9&amp;F12,Feuil4!C:LK,113,FALSE)</f>
        <v>4.5078577336641855E-2</v>
      </c>
      <c r="E91" s="113">
        <f>VLOOKUP(F9&amp;F12,Feuil4!C:LK,114,FALSE)</f>
        <v>18</v>
      </c>
      <c r="F91" s="113">
        <f>VLOOKUP(F9&amp;F12,Feuil4!C:LK,115,FALSE)</f>
        <v>109</v>
      </c>
      <c r="G91" s="48"/>
      <c r="H91" s="12"/>
      <c r="I91" s="15" t="s">
        <v>12</v>
      </c>
      <c r="J91" s="22">
        <f>VLOOKUP(F9&amp;F12,Feuil4!C:LK,144,FALSE)</f>
        <v>0</v>
      </c>
      <c r="K91" s="22">
        <f>VLOOKUP(F9&amp;F12,Feuil4!C:LK,145,FALSE)</f>
        <v>7.6923076923076927E-2</v>
      </c>
      <c r="L91" s="73">
        <f>VLOOKUP(F9&amp;F12,Feuil4!C:LK,146,FALSE)</f>
        <v>0</v>
      </c>
      <c r="M91" s="73">
        <f>VLOOKUP(F9&amp;F12,Feuil4!C:LK,147,FALSE)</f>
        <v>186</v>
      </c>
      <c r="N91" s="31"/>
      <c r="O91" s="31"/>
      <c r="P91" s="31"/>
      <c r="Q91" s="32"/>
      <c r="R91" s="2"/>
      <c r="S91" s="2"/>
      <c r="T91" s="2"/>
      <c r="U91" s="2"/>
    </row>
    <row r="92" spans="1:29" x14ac:dyDescent="0.25">
      <c r="A92" s="68"/>
      <c r="B92" s="15" t="s">
        <v>102</v>
      </c>
      <c r="C92" s="27">
        <f>VLOOKUP(F9&amp;F12,Feuil4!C:LK,116,FALSE)</f>
        <v>0.12773722627737227</v>
      </c>
      <c r="D92" s="27">
        <f>VLOOKUP(F9&amp;F12,Feuil4!C:LK,117,FALSE)</f>
        <v>0.12324234904880066</v>
      </c>
      <c r="E92" s="113">
        <f>VLOOKUP(F9&amp;F12,Feuil4!C:LK,118,FALSE)</f>
        <v>35</v>
      </c>
      <c r="F92" s="113">
        <f>VLOOKUP(F9&amp;F12,Feuil4!C:LK,119,FALSE)</f>
        <v>298</v>
      </c>
      <c r="G92" s="48"/>
      <c r="H92" s="12"/>
      <c r="I92" s="15" t="s">
        <v>13</v>
      </c>
      <c r="J92" s="22">
        <f>VLOOKUP(F9&amp;F12,Feuil4!C:LK,148,FALSE)</f>
        <v>1.0948905109489052E-2</v>
      </c>
      <c r="K92" s="22">
        <f>VLOOKUP(F9&amp;F12,Feuil4!C:LK,149,FALSE)</f>
        <v>0.4813895781637717</v>
      </c>
      <c r="L92" s="73">
        <f>VLOOKUP(F9&amp;F12,Feuil4!C:LK,150,FALSE)</f>
        <v>3</v>
      </c>
      <c r="M92" s="73">
        <f>VLOOKUP(F9&amp;F12,Feuil4!C:LK,151,FALSE)</f>
        <v>1164</v>
      </c>
      <c r="N92" s="31"/>
      <c r="O92" s="31"/>
      <c r="P92" s="31"/>
      <c r="Q92" s="32"/>
      <c r="R92" s="2"/>
      <c r="S92" s="2"/>
      <c r="T92" s="2"/>
      <c r="U92" s="2"/>
    </row>
    <row r="93" spans="1:29" x14ac:dyDescent="0.25">
      <c r="A93" s="12"/>
      <c r="B93" s="15" t="s">
        <v>42</v>
      </c>
      <c r="C93" s="27">
        <f>VLOOKUP(F9&amp;F12,Feuil4!C:LK,120,FALSE)</f>
        <v>2.9197080291970802E-2</v>
      </c>
      <c r="D93" s="27">
        <f>VLOOKUP(F9&amp;F12,Feuil4!C:LK,121,FALSE)</f>
        <v>3.2258064516129031E-2</v>
      </c>
      <c r="E93" s="113">
        <f>VLOOKUP(F9&amp;F12,Feuil4!C:LK,122,FALSE)</f>
        <v>8</v>
      </c>
      <c r="F93" s="113">
        <f>VLOOKUP(F9&amp;F12,Feuil4!C:LK,123,FALSE)</f>
        <v>78</v>
      </c>
      <c r="G93" s="48"/>
      <c r="H93" s="12"/>
      <c r="I93" s="15" t="s">
        <v>14</v>
      </c>
      <c r="J93" s="22">
        <f>VLOOKUP(F9&amp;F12,Feuil4!C:LK,152,FALSE)</f>
        <v>7.2992700729927005E-3</v>
      </c>
      <c r="K93" s="22">
        <f>VLOOKUP(F9&amp;F12,Feuil4!C:LK,153,FALSE)</f>
        <v>4.8800661703887513E-2</v>
      </c>
      <c r="L93" s="73">
        <f>VLOOKUP(F9&amp;F12,Feuil4!C:LK,154,FALSE)</f>
        <v>2</v>
      </c>
      <c r="M93" s="73">
        <f>VLOOKUP(F9&amp;F12,Feuil4!C:LK,155,FALSE)</f>
        <v>118</v>
      </c>
      <c r="N93" s="31"/>
      <c r="O93" s="31"/>
      <c r="P93" s="31"/>
      <c r="Q93" s="32"/>
      <c r="R93" s="2"/>
      <c r="S93" s="2"/>
      <c r="T93" s="2"/>
      <c r="U93" s="2"/>
    </row>
    <row r="94" spans="1:29" x14ac:dyDescent="0.25">
      <c r="A94" s="68"/>
      <c r="B94" s="16" t="s">
        <v>103</v>
      </c>
      <c r="C94" s="27">
        <f>VLOOKUP(F9&amp;F12,Feuil4!C:LK,124,FALSE)</f>
        <v>3.6496350364963501E-2</v>
      </c>
      <c r="D94" s="27">
        <f>VLOOKUP(F9&amp;F12,Feuil4!C:LK,125,FALSE)</f>
        <v>6.7411083540115796E-2</v>
      </c>
      <c r="E94" s="113">
        <f>VLOOKUP(F9&amp;F12,Feuil4!C:LK,126,FALSE)</f>
        <v>10</v>
      </c>
      <c r="F94" s="113">
        <f>VLOOKUP(F9&amp;F12,Feuil4!C:LK,127,FALSE)</f>
        <v>163</v>
      </c>
      <c r="G94" s="48"/>
      <c r="H94" s="12"/>
      <c r="I94" s="15" t="s">
        <v>15</v>
      </c>
      <c r="J94" s="22">
        <f>VLOOKUP(F9&amp;F12,Feuil4!C:LK,156,FALSE)</f>
        <v>0</v>
      </c>
      <c r="K94" s="22">
        <f>VLOOKUP(F9&amp;F12,Feuil4!C:LK,157,FALSE)</f>
        <v>8.0231596360628613E-2</v>
      </c>
      <c r="L94" s="73">
        <f>VLOOKUP(F9&amp;F12,Feuil4!C:LK,158,FALSE)</f>
        <v>0</v>
      </c>
      <c r="M94" s="73">
        <f>VLOOKUP(F9&amp;F12,Feuil4!C:LK,159,FALSE)</f>
        <v>194</v>
      </c>
      <c r="N94" s="31"/>
      <c r="O94" s="31"/>
      <c r="P94" s="31"/>
      <c r="Q94" s="32"/>
      <c r="R94" s="2"/>
      <c r="S94" s="2"/>
      <c r="T94" s="2"/>
      <c r="U94" s="2"/>
    </row>
    <row r="95" spans="1:29" x14ac:dyDescent="0.25">
      <c r="A95" s="12"/>
      <c r="B95" s="16" t="s">
        <v>104</v>
      </c>
      <c r="C95" s="27">
        <f>VLOOKUP(F9&amp;F12,Feuil4!C:LK,128,FALSE)</f>
        <v>6.569343065693431E-2</v>
      </c>
      <c r="D95" s="27">
        <f>VLOOKUP(F9&amp;F12,Feuil4!C:LK,129,FALSE)</f>
        <v>9.3465674110835395E-2</v>
      </c>
      <c r="E95" s="113">
        <f>VLOOKUP(F9&amp;F12,Feuil4!C:LK,130,FALSE)</f>
        <v>18</v>
      </c>
      <c r="F95" s="113">
        <f>VLOOKUP(F9&amp;F12,Feuil4!C:LK,131,FALSE)</f>
        <v>226</v>
      </c>
      <c r="G95" s="48"/>
      <c r="H95" s="12"/>
      <c r="I95" s="15" t="s">
        <v>16</v>
      </c>
      <c r="J95" s="22">
        <f>VLOOKUP(F9&amp;F12,Feuil4!C:LK,160,FALSE)</f>
        <v>3.2846715328467155E-2</v>
      </c>
      <c r="K95" s="22">
        <f>VLOOKUP(F9&amp;F12,Feuil4!C:LK,161,FALSE)</f>
        <v>0.16046319272125723</v>
      </c>
      <c r="L95" s="73">
        <f>VLOOKUP(F9&amp;F12,Feuil4!C:LK,162,FALSE)</f>
        <v>9</v>
      </c>
      <c r="M95" s="73">
        <f>VLOOKUP(F9&amp;F12,Feuil4!C:LK,163,FALSE)</f>
        <v>388</v>
      </c>
      <c r="N95" s="31"/>
      <c r="O95" s="31"/>
      <c r="P95" s="31"/>
      <c r="Q95" s="32"/>
      <c r="R95" s="2"/>
      <c r="S95" s="2"/>
      <c r="T95" s="2"/>
      <c r="U95" s="2"/>
    </row>
    <row r="96" spans="1:29" x14ac:dyDescent="0.25">
      <c r="A96" s="68"/>
      <c r="B96" s="16" t="s">
        <v>100</v>
      </c>
      <c r="C96" s="27">
        <f>VLOOKUP(F9&amp;F12,Feuil4!C:LK,132,FALSE)</f>
        <v>0.47810218978102192</v>
      </c>
      <c r="D96" s="27">
        <f>VLOOKUP(F9&amp;F12,Feuil4!C:LK,133,FALSE)</f>
        <v>0.47435897435897434</v>
      </c>
      <c r="E96" s="113">
        <f>VLOOKUP(F9&amp;F12,Feuil4!C:LK,134,FALSE)</f>
        <v>131</v>
      </c>
      <c r="F96" s="113">
        <f>VLOOKUP(F9&amp;F12,Feuil4!C:LK,135,FALSE)</f>
        <v>1147</v>
      </c>
      <c r="G96" s="48"/>
      <c r="H96" s="12"/>
      <c r="I96" s="15" t="s">
        <v>10</v>
      </c>
      <c r="J96" s="22">
        <f>VLOOKUP(F9&amp;F12,Feuil4!C:LK,164,FALSE)</f>
        <v>7.6642335766423361E-2</v>
      </c>
      <c r="K96" s="22">
        <f>VLOOKUP(F9&amp;F12,Feuil4!C:LK,165,FALSE)</f>
        <v>4.9214226633581472E-2</v>
      </c>
      <c r="L96" s="73">
        <f>VLOOKUP(F9&amp;F12,Feuil4!C:LK,166,FALSE)</f>
        <v>21</v>
      </c>
      <c r="M96" s="73">
        <f>VLOOKUP(F9&amp;F12,Feuil4!C:LK,167,FALSE)</f>
        <v>119</v>
      </c>
      <c r="N96" s="31"/>
      <c r="O96" s="31"/>
      <c r="P96" s="31"/>
      <c r="Q96" s="32"/>
      <c r="R96" s="2"/>
      <c r="S96" s="2"/>
      <c r="T96" s="2"/>
      <c r="U96" s="2"/>
    </row>
    <row r="97" spans="1:17" x14ac:dyDescent="0.25">
      <c r="A97" s="12"/>
      <c r="B97" s="16" t="s">
        <v>43</v>
      </c>
      <c r="C97" s="27">
        <f>VLOOKUP(F9&amp;F12,Feuil4!C:LK,136,FALSE)</f>
        <v>0.12043795620437947</v>
      </c>
      <c r="D97" s="27">
        <f>VLOOKUP(F9&amp;F12,Feuil4!C:LK,137,FALSE)</f>
        <v>6.8651778329197666E-2</v>
      </c>
      <c r="E97" s="113">
        <f>VLOOKUP(F9&amp;F12,Feuil4!C:LK,138,FALSE)</f>
        <v>32.999999999999972</v>
      </c>
      <c r="F97" s="113">
        <f>VLOOKUP(F9&amp;F12,Feuil4!C:LK,139,FALSE)</f>
        <v>165.99999999999994</v>
      </c>
      <c r="G97" s="48"/>
      <c r="M97" s="12"/>
      <c r="N97" s="12"/>
    </row>
    <row r="98" spans="1:17" x14ac:dyDescent="0.25">
      <c r="A98" s="12"/>
      <c r="B98" s="16"/>
      <c r="C98" s="69"/>
      <c r="D98" s="48"/>
      <c r="E98" s="48"/>
      <c r="F98" s="12"/>
      <c r="G98" s="12"/>
      <c r="H98" s="65" t="s">
        <v>97</v>
      </c>
      <c r="I98" s="65"/>
      <c r="J98" s="65"/>
      <c r="K98" s="65"/>
      <c r="L98" s="65"/>
      <c r="M98" s="12"/>
      <c r="N98" s="12"/>
    </row>
    <row r="99" spans="1:17" ht="12" customHeight="1" x14ac:dyDescent="0.25">
      <c r="C99" s="70"/>
      <c r="H99" s="12"/>
      <c r="I99" s="12"/>
      <c r="J99" s="115" t="s">
        <v>44</v>
      </c>
      <c r="K99" s="115" t="s">
        <v>1</v>
      </c>
      <c r="L99" s="115" t="s">
        <v>44</v>
      </c>
      <c r="M99" s="115" t="s">
        <v>1</v>
      </c>
      <c r="N99" s="12"/>
      <c r="O99" s="12"/>
      <c r="P99" s="12"/>
    </row>
    <row r="100" spans="1:17" ht="12" customHeight="1" x14ac:dyDescent="0.25">
      <c r="H100" s="12"/>
      <c r="I100" s="66" t="s">
        <v>98</v>
      </c>
      <c r="J100" s="125">
        <f>VLOOKUP(F9&amp;F12,Feuil4!C:LK,168,FALSE)</f>
        <v>54</v>
      </c>
      <c r="K100" s="125">
        <f>VLOOKUP(F9&amp;F12,Feuil4!C:LK,169,FALSE)</f>
        <v>495</v>
      </c>
      <c r="L100" s="125">
        <f>VLOOKUP(F9&amp;F12,Feuil4!C:LK,170,FALSE)</f>
        <v>54</v>
      </c>
      <c r="M100" s="125">
        <f>VLOOKUP(F9&amp;F12,Feuil4!C:LK,171,FALSE)</f>
        <v>495</v>
      </c>
      <c r="N100" s="31"/>
      <c r="O100" s="31"/>
      <c r="P100" s="31"/>
      <c r="Q100" s="32"/>
    </row>
    <row r="101" spans="1:17" ht="12" customHeight="1" x14ac:dyDescent="0.25">
      <c r="H101" s="12"/>
      <c r="I101" s="66" t="s">
        <v>99</v>
      </c>
      <c r="J101" s="126"/>
      <c r="K101" s="126"/>
      <c r="L101" s="126"/>
      <c r="M101" s="126"/>
      <c r="N101" s="12"/>
      <c r="O101" s="12"/>
      <c r="P101" s="12"/>
    </row>
    <row r="102" spans="1:17" ht="15" customHeight="1" x14ac:dyDescent="0.25">
      <c r="A102" s="71"/>
      <c r="H102" s="12"/>
      <c r="I102" s="76" t="s">
        <v>11</v>
      </c>
      <c r="J102" s="77">
        <f>VLOOKUP(F9&amp;F12,Feuil4!C:LK,172,FALSE)</f>
        <v>0.77777777777777779</v>
      </c>
      <c r="K102" s="77">
        <f>VLOOKUP(F9&amp;F12,Feuil4!C:LK,173,FALSE)</f>
        <v>8.4848484848484854E-2</v>
      </c>
      <c r="L102" s="114">
        <f>VLOOKUP(F9&amp;F12,Feuil4!C:LK,174,FALSE)</f>
        <v>42</v>
      </c>
      <c r="M102" s="114">
        <f>VLOOKUP(F9&amp;F12,Feuil4!C:LK,175,FALSE)</f>
        <v>42</v>
      </c>
      <c r="N102" s="31"/>
      <c r="O102" s="31"/>
      <c r="P102" s="31"/>
      <c r="Q102" s="32"/>
    </row>
    <row r="103" spans="1:17" ht="15" customHeight="1" x14ac:dyDescent="0.25">
      <c r="A103" s="71"/>
      <c r="H103" s="12"/>
      <c r="I103" s="76" t="s">
        <v>12</v>
      </c>
      <c r="J103" s="77">
        <f>VLOOKUP(F9&amp;F12,Feuil4!C:LK,176,FALSE)</f>
        <v>0</v>
      </c>
      <c r="K103" s="77">
        <f>VLOOKUP(F9&amp;F12,Feuil4!C:LK,177,FALSE)</f>
        <v>0</v>
      </c>
      <c r="L103" s="114">
        <f>VLOOKUP(F9&amp;F12,Feuil4!C:LK,178,FALSE)</f>
        <v>0</v>
      </c>
      <c r="M103" s="114">
        <f>VLOOKUP(F9&amp;F12,Feuil4!C:LK,179,FALSE)</f>
        <v>0</v>
      </c>
      <c r="N103" s="31"/>
      <c r="O103" s="31"/>
      <c r="P103" s="31"/>
      <c r="Q103" s="32"/>
    </row>
    <row r="104" spans="1:17" ht="15" customHeight="1" x14ac:dyDescent="0.25">
      <c r="H104" s="12"/>
      <c r="I104" s="76" t="s">
        <v>13</v>
      </c>
      <c r="J104" s="77">
        <f>VLOOKUP(F9&amp;F12,Feuil4!C:LK,180,FALSE)</f>
        <v>0</v>
      </c>
      <c r="K104" s="77">
        <f>VLOOKUP(F9&amp;F12,Feuil4!C:LK,181,FALSE)</f>
        <v>0.44242424242424244</v>
      </c>
      <c r="L104" s="114">
        <f>VLOOKUP(F9&amp;F12,Feuil4!C:LK,182,FALSE)</f>
        <v>0</v>
      </c>
      <c r="M104" s="114">
        <f>VLOOKUP(F9&amp;F12,Feuil4!C:LK,183,FALSE)</f>
        <v>219</v>
      </c>
      <c r="N104" s="31"/>
      <c r="O104" s="31"/>
      <c r="P104" s="31"/>
      <c r="Q104" s="32"/>
    </row>
    <row r="105" spans="1:17" ht="15" customHeight="1" x14ac:dyDescent="0.25">
      <c r="H105" s="12"/>
      <c r="I105" s="76" t="s">
        <v>14</v>
      </c>
      <c r="J105" s="77">
        <f>VLOOKUP(F9&amp;F12,Feuil4!C:LK,184,FALSE)</f>
        <v>0</v>
      </c>
      <c r="K105" s="77">
        <f>VLOOKUP(F9&amp;F12,Feuil4!C:LK,185,FALSE)</f>
        <v>0</v>
      </c>
      <c r="L105" s="114">
        <f>VLOOKUP(F9&amp;F12,Feuil4!C:LK,186,FALSE)</f>
        <v>0</v>
      </c>
      <c r="M105" s="114">
        <f>VLOOKUP(F9&amp;F12,Feuil4!C:LK,187,FALSE)</f>
        <v>0</v>
      </c>
      <c r="N105" s="31"/>
      <c r="O105" s="31"/>
      <c r="P105" s="31"/>
      <c r="Q105" s="32"/>
    </row>
    <row r="106" spans="1:17" ht="15" customHeight="1" x14ac:dyDescent="0.25">
      <c r="H106" s="12"/>
      <c r="I106" s="76" t="s">
        <v>15</v>
      </c>
      <c r="J106" s="77">
        <f>VLOOKUP(F9&amp;F12,Feuil4!C:LK,188,FALSE)</f>
        <v>0</v>
      </c>
      <c r="K106" s="77">
        <f>VLOOKUP(F9&amp;F12,Feuil4!C:LK,189,FALSE)</f>
        <v>5.8585858585858588E-2</v>
      </c>
      <c r="L106" s="114">
        <f>VLOOKUP(F9&amp;F12,Feuil4!C:LK,190,FALSE)</f>
        <v>0</v>
      </c>
      <c r="M106" s="114">
        <f>VLOOKUP(F9&amp;F12,Feuil4!C:LK,191,FALSE)</f>
        <v>29</v>
      </c>
      <c r="N106" s="31"/>
      <c r="O106" s="31"/>
      <c r="P106" s="31"/>
      <c r="Q106" s="32"/>
    </row>
    <row r="107" spans="1:17" ht="15" customHeight="1" x14ac:dyDescent="0.25">
      <c r="H107" s="12"/>
      <c r="I107" s="76" t="s">
        <v>16</v>
      </c>
      <c r="J107" s="77">
        <f>VLOOKUP(F9&amp;F12,Feuil4!C:LK,192,FALSE)</f>
        <v>7.407407407407407E-2</v>
      </c>
      <c r="K107" s="77">
        <f>VLOOKUP(F9&amp;F12,Feuil4!C:LK,193,FALSE)</f>
        <v>0.32323232323232326</v>
      </c>
      <c r="L107" s="114">
        <f>VLOOKUP(F9&amp;F12,Feuil4!C:LK,194,FALSE)</f>
        <v>4</v>
      </c>
      <c r="M107" s="114">
        <f>VLOOKUP(F9&amp;F12,Feuil4!C:LK,195,FALSE)</f>
        <v>160</v>
      </c>
      <c r="N107" s="31"/>
      <c r="O107" s="31"/>
      <c r="P107" s="31"/>
      <c r="Q107" s="32"/>
    </row>
    <row r="108" spans="1:17" ht="15" customHeight="1" x14ac:dyDescent="0.25">
      <c r="H108" s="12"/>
      <c r="I108" s="76" t="s">
        <v>10</v>
      </c>
      <c r="J108" s="77">
        <f>VLOOKUP(F9&amp;F12,Feuil4!C:LK,196,FALSE)</f>
        <v>0.14814814814814814</v>
      </c>
      <c r="K108" s="77">
        <f>VLOOKUP(F9&amp;F12,Feuil4!C:LK,197,FALSE)</f>
        <v>9.0909090909090912E-2</v>
      </c>
      <c r="L108" s="114">
        <f>VLOOKUP(F9&amp;F12,Feuil4!C:LK,198,FALSE)</f>
        <v>8</v>
      </c>
      <c r="M108" s="114">
        <f>VLOOKUP(F9&amp;F12,Feuil4!C:LK,199,FALSE)</f>
        <v>45</v>
      </c>
      <c r="N108" s="31"/>
      <c r="O108" s="31"/>
      <c r="P108" s="31"/>
      <c r="Q108" s="32"/>
    </row>
    <row r="109" spans="1:17" ht="15" customHeight="1" x14ac:dyDescent="0.25"/>
    <row r="110" spans="1:17" ht="15" hidden="1" customHeight="1" x14ac:dyDescent="0.25"/>
    <row r="111" spans="1:17" ht="6" hidden="1" customHeight="1" x14ac:dyDescent="0.25"/>
    <row r="112" spans="1:17" ht="15" hidden="1" customHeight="1" x14ac:dyDescent="0.25">
      <c r="G112" s="4"/>
      <c r="H112" s="4"/>
      <c r="J112" s="5"/>
      <c r="K112" s="4"/>
    </row>
    <row r="113" spans="1:8" x14ac:dyDescent="0.25"/>
    <row r="114" spans="1:8" x14ac:dyDescent="0.25">
      <c r="B114" s="38" t="s">
        <v>4</v>
      </c>
      <c r="C114" s="38"/>
      <c r="D114" s="38"/>
    </row>
    <row r="115" spans="1:8" x14ac:dyDescent="0.25"/>
    <row r="116" spans="1:8" ht="18.75" customHeight="1" x14ac:dyDescent="0.25">
      <c r="B116" s="115" t="s">
        <v>44</v>
      </c>
      <c r="C116" s="115" t="s">
        <v>1</v>
      </c>
      <c r="D116" s="115" t="s">
        <v>44</v>
      </c>
      <c r="E116" s="115" t="s">
        <v>1</v>
      </c>
    </row>
    <row r="117" spans="1:8" x14ac:dyDescent="0.25">
      <c r="A117" s="17" t="s">
        <v>17</v>
      </c>
      <c r="B117" s="7">
        <f>VLOOKUP(F9&amp;F12,Feuil4!C:LK,200,FALSE)</f>
        <v>3.6496350364963501E-2</v>
      </c>
      <c r="C117" s="7">
        <f>VLOOKUP(F9&amp;F12,Feuil4!C:LK,201,FALSE)</f>
        <v>4.425144747725393E-2</v>
      </c>
      <c r="D117" s="21">
        <f>VLOOKUP(F9&amp;F12,Feuil4!C:LK,202,FALSE)</f>
        <v>10</v>
      </c>
      <c r="E117" s="21">
        <f>VLOOKUP(F9&amp;F12,Feuil4!C:LK,203,FALSE)</f>
        <v>107</v>
      </c>
    </row>
    <row r="118" spans="1:8" x14ac:dyDescent="0.25">
      <c r="A118" s="17" t="s">
        <v>18</v>
      </c>
      <c r="B118" s="7">
        <f>VLOOKUP(F9&amp;F12,Feuil4!C:LK,204,FALSE)</f>
        <v>6.569343065693431E-2</v>
      </c>
      <c r="C118" s="7">
        <f>VLOOKUP(F9&amp;F12,Feuil4!C:LK,205,FALSE)</f>
        <v>7.3614557485525228E-2</v>
      </c>
      <c r="D118" s="21">
        <f>VLOOKUP(F9&amp;F12,Feuil4!C:LK,206,FALSE)</f>
        <v>18</v>
      </c>
      <c r="E118" s="21">
        <f>VLOOKUP(F9&amp;F12,Feuil4!C:LK,207,FALSE)</f>
        <v>178</v>
      </c>
    </row>
    <row r="119" spans="1:8" x14ac:dyDescent="0.25">
      <c r="A119" s="17" t="s">
        <v>19</v>
      </c>
      <c r="B119" s="7">
        <f>VLOOKUP(F9&amp;F12,Feuil4!C:LK,208,FALSE)</f>
        <v>0</v>
      </c>
      <c r="C119" s="7">
        <f>VLOOKUP(F9&amp;F12,Feuil4!C:LK,209,FALSE)</f>
        <v>8.271298593879239E-4</v>
      </c>
      <c r="D119" s="21">
        <f>VLOOKUP(F9&amp;F12,Feuil4!C:LK,210,FALSE)</f>
        <v>0</v>
      </c>
      <c r="E119" s="21">
        <f>VLOOKUP(F9&amp;F12,Feuil4!C:LK,211,FALSE)</f>
        <v>2</v>
      </c>
    </row>
    <row r="120" spans="1:8" x14ac:dyDescent="0.25">
      <c r="A120" s="17" t="s">
        <v>20</v>
      </c>
      <c r="B120" s="7">
        <f>VLOOKUP(F9&amp;F12,Feuil4!C:LK,212,FALSE)</f>
        <v>0</v>
      </c>
      <c r="C120" s="7">
        <f>VLOOKUP(F9&amp;F12,Feuil4!C:LK,213,FALSE)</f>
        <v>4.1356492969396195E-4</v>
      </c>
      <c r="D120" s="21">
        <f>VLOOKUP(F9&amp;F12,Feuil4!C:LK,214,FALSE)</f>
        <v>0</v>
      </c>
      <c r="E120" s="21">
        <f>VLOOKUP(F9&amp;F12,Feuil4!C:LK,215,FALSE)</f>
        <v>1</v>
      </c>
    </row>
    <row r="121" spans="1:8" x14ac:dyDescent="0.25">
      <c r="A121" s="17" t="s">
        <v>21</v>
      </c>
      <c r="B121" s="7">
        <f>VLOOKUP(F9&amp;F12,Feuil4!C:LK,216,FALSE)</f>
        <v>3.6496350364963502E-3</v>
      </c>
      <c r="C121" s="7">
        <f>VLOOKUP(F9&amp;F12,Feuil4!C:LK,217,FALSE)</f>
        <v>4.1356492969396195E-4</v>
      </c>
      <c r="D121" s="21">
        <f>VLOOKUP(F9&amp;F12,Feuil4!C:LK,218,FALSE)</f>
        <v>1</v>
      </c>
      <c r="E121" s="21">
        <f>VLOOKUP(F9&amp;F12,Feuil4!C:LK,219,FALSE)</f>
        <v>1</v>
      </c>
    </row>
    <row r="122" spans="1:8" x14ac:dyDescent="0.25">
      <c r="A122" s="17" t="s">
        <v>22</v>
      </c>
      <c r="B122" s="7">
        <f>VLOOKUP(F9&amp;F12,Feuil4!C:LK,220,FALSE)</f>
        <v>3.6496350364963502E-3</v>
      </c>
      <c r="C122" s="7">
        <f>VLOOKUP(F9&amp;F12,Feuil4!C:LK,221,FALSE)</f>
        <v>2.0678246484698098E-3</v>
      </c>
      <c r="D122" s="21">
        <f>VLOOKUP(F9&amp;F12,Feuil4!C:LK,222,FALSE)</f>
        <v>1</v>
      </c>
      <c r="E122" s="21">
        <f>VLOOKUP(F9&amp;F12,Feuil4!C:LK,223,FALSE)</f>
        <v>5</v>
      </c>
    </row>
    <row r="123" spans="1:8" x14ac:dyDescent="0.25">
      <c r="A123" s="17" t="s">
        <v>9</v>
      </c>
      <c r="B123" s="7">
        <f>VLOOKUP(F9&amp;F12,Feuil4!C:LK,224,FALSE)</f>
        <v>0.83576642335766427</v>
      </c>
      <c r="C123" s="7">
        <f>VLOOKUP(F9&amp;F12,Feuil4!C:LK,225,FALSE)</f>
        <v>0.80024813895781632</v>
      </c>
      <c r="D123" s="21">
        <f>VLOOKUP(F9&amp;F12,Feuil4!C:LK,226,FALSE)</f>
        <v>229</v>
      </c>
      <c r="E123" s="21">
        <f>VLOOKUP(F9&amp;F12,Feuil4!C:LK,227,FALSE)</f>
        <v>1935</v>
      </c>
    </row>
    <row r="124" spans="1:8" x14ac:dyDescent="0.25">
      <c r="A124" s="17" t="s">
        <v>0</v>
      </c>
      <c r="B124" s="7">
        <f>VLOOKUP(F9&amp;F12,Feuil4!C:LK,228,FALSE)</f>
        <v>5.8394160583941604E-2</v>
      </c>
      <c r="C124" s="7">
        <f>VLOOKUP(F9&amp;F12,Feuil4!C:LK,229,FALSE)</f>
        <v>8.0231596360628613E-2</v>
      </c>
      <c r="D124" s="21">
        <v>55</v>
      </c>
      <c r="E124" s="21">
        <v>170</v>
      </c>
    </row>
    <row r="125" spans="1:8" x14ac:dyDescent="0.25">
      <c r="A125" s="2"/>
      <c r="B125" s="2"/>
      <c r="C125" s="2"/>
      <c r="D125" s="2"/>
      <c r="E125" s="2"/>
      <c r="F125" s="2"/>
      <c r="G125" s="2"/>
      <c r="H125" s="2"/>
    </row>
    <row r="126" spans="1:8" x14ac:dyDescent="0.25">
      <c r="A126" s="2"/>
      <c r="B126" s="2"/>
      <c r="C126" s="2"/>
      <c r="D126" s="2"/>
      <c r="E126" s="2"/>
      <c r="F126" s="2"/>
      <c r="G126" s="2"/>
      <c r="H126" s="2"/>
    </row>
    <row r="127" spans="1:8" x14ac:dyDescent="0.25">
      <c r="A127" s="2"/>
      <c r="B127" s="2"/>
      <c r="C127" s="2"/>
      <c r="D127" s="2"/>
      <c r="E127" s="2"/>
      <c r="F127" s="2"/>
      <c r="G127" s="2"/>
      <c r="H127" s="2"/>
    </row>
    <row r="128" spans="1:8" x14ac:dyDescent="0.25">
      <c r="A128" s="2"/>
      <c r="B128" s="2"/>
      <c r="C128" s="2"/>
      <c r="D128" s="2"/>
      <c r="E128" s="2"/>
      <c r="F128" s="2"/>
      <c r="G128" s="2"/>
      <c r="H128" s="2"/>
    </row>
    <row r="129" spans="1:16" x14ac:dyDescent="0.25">
      <c r="A129" s="2"/>
      <c r="B129" s="2"/>
      <c r="C129" s="2"/>
      <c r="D129" s="2"/>
      <c r="E129" s="2"/>
      <c r="F129" s="2"/>
      <c r="G129" s="2"/>
      <c r="H129" s="2"/>
    </row>
    <row r="130" spans="1:16" x14ac:dyDescent="0.25">
      <c r="A130" s="2"/>
      <c r="B130" s="2"/>
      <c r="C130" s="2"/>
      <c r="D130" s="2"/>
      <c r="E130" s="2"/>
      <c r="F130" s="2"/>
      <c r="G130" s="2"/>
      <c r="H130" s="2"/>
    </row>
    <row r="131" spans="1:16" x14ac:dyDescent="0.25">
      <c r="A131" s="2"/>
      <c r="B131" s="2"/>
      <c r="C131" s="2"/>
      <c r="D131" s="2"/>
      <c r="E131" s="2"/>
      <c r="F131" s="2"/>
      <c r="G131" s="2"/>
      <c r="H131" s="2"/>
    </row>
    <row r="132" spans="1:16" x14ac:dyDescent="0.25">
      <c r="A132" s="2"/>
      <c r="B132" s="2"/>
      <c r="C132" s="2"/>
      <c r="D132" s="2"/>
      <c r="E132" s="2"/>
      <c r="F132" s="2"/>
      <c r="G132" s="2"/>
      <c r="H132" s="2"/>
    </row>
    <row r="133" spans="1:16" x14ac:dyDescent="0.25"/>
    <row r="134" spans="1:16" ht="15.75" x14ac:dyDescent="0.25">
      <c r="A134" s="14" t="s">
        <v>45</v>
      </c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1:16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</row>
    <row r="136" spans="1:16" x14ac:dyDescent="0.25">
      <c r="B136" s="12" t="s">
        <v>91</v>
      </c>
      <c r="C136" s="12"/>
      <c r="D136" s="12"/>
      <c r="E136" s="12"/>
      <c r="J136" s="12"/>
      <c r="K136" s="12"/>
      <c r="L136" s="12"/>
    </row>
    <row r="137" spans="1:16" x14ac:dyDescent="0.25">
      <c r="B137" s="12"/>
      <c r="C137" s="12"/>
      <c r="D137" s="12"/>
      <c r="E137" s="12"/>
      <c r="J137" s="12"/>
      <c r="K137" s="12"/>
      <c r="L137" s="12"/>
    </row>
    <row r="138" spans="1:16" s="12" customFormat="1" x14ac:dyDescent="0.25">
      <c r="A138"/>
      <c r="D138" s="115" t="s">
        <v>44</v>
      </c>
      <c r="E138" s="115" t="s">
        <v>1</v>
      </c>
      <c r="F138" s="115" t="s">
        <v>44</v>
      </c>
      <c r="G138" s="115" t="s">
        <v>1</v>
      </c>
      <c r="H138" s="2" t="s">
        <v>67</v>
      </c>
      <c r="I138" s="2" t="s">
        <v>68</v>
      </c>
      <c r="K138" s="115"/>
      <c r="L138" s="115"/>
      <c r="M138" s="49"/>
      <c r="N138" s="49"/>
      <c r="O138" s="49"/>
      <c r="P138" s="49"/>
    </row>
    <row r="139" spans="1:16" s="49" customFormat="1" x14ac:dyDescent="0.25">
      <c r="A139"/>
      <c r="B139" s="12"/>
      <c r="C139" s="15" t="s">
        <v>60</v>
      </c>
      <c r="D139" s="22">
        <f>VLOOKUP(F9&amp;F12,Feuil4!C:LK,232,FALSE)</f>
        <v>0.41860465116279072</v>
      </c>
      <c r="E139" s="22">
        <f>VLOOKUP(F9&amp;F12,Feuil4!C:LK,233,FALSE)</f>
        <v>0.44483985765124556</v>
      </c>
      <c r="F139" s="73">
        <f>VLOOKUP(F9&amp;F12,Feuil4!C:LK,234,FALSE)</f>
        <v>54</v>
      </c>
      <c r="G139" s="73">
        <f>VLOOKUP(F9&amp;F12,Feuil4!C:LK,235,FALSE)</f>
        <v>375</v>
      </c>
      <c r="H139" s="2"/>
      <c r="I139" s="2"/>
      <c r="J139" s="2"/>
      <c r="K139" s="2"/>
      <c r="L139" s="74"/>
      <c r="M139" s="31"/>
      <c r="N139" s="31"/>
    </row>
    <row r="140" spans="1:16" s="49" customFormat="1" x14ac:dyDescent="0.25">
      <c r="A140"/>
      <c r="B140" s="12"/>
      <c r="C140" s="15" t="s">
        <v>42</v>
      </c>
      <c r="D140" s="22">
        <f>VLOOKUP(F9&amp;F12,Feuil4!C:LK,236,FALSE)</f>
        <v>0.14728682170542637</v>
      </c>
      <c r="E140" s="22">
        <f>VLOOKUP(F9&amp;F12,Feuil4!C:LK,237,FALSE)</f>
        <v>0.21233689205219455</v>
      </c>
      <c r="F140" s="73">
        <f>VLOOKUP(F9&amp;F12,Feuil4!C:LK,238,FALSE)</f>
        <v>19</v>
      </c>
      <c r="G140" s="73">
        <f>VLOOKUP(F9&amp;F12,Feuil4!C:LK,239,FALSE)</f>
        <v>179</v>
      </c>
      <c r="H140" s="2"/>
      <c r="I140" s="2"/>
      <c r="J140" s="2"/>
      <c r="K140" s="2"/>
      <c r="L140" s="74"/>
      <c r="M140" s="31"/>
      <c r="N140" s="31"/>
    </row>
    <row r="141" spans="1:16" s="49" customFormat="1" x14ac:dyDescent="0.25">
      <c r="A141"/>
      <c r="B141" s="12"/>
      <c r="C141" s="15" t="s">
        <v>61</v>
      </c>
      <c r="D141" s="22">
        <f>VLOOKUP(F9&amp;F12,Feuil4!C:LK,240,FALSE)</f>
        <v>3.1007751937984496E-2</v>
      </c>
      <c r="E141" s="22">
        <f>VLOOKUP(F9&amp;F12,Feuil4!C:LK,241,FALSE)</f>
        <v>6.1684460260972719E-2</v>
      </c>
      <c r="F141" s="73">
        <f>VLOOKUP(F9&amp;F12,Feuil4!C:LK,242,FALSE)</f>
        <v>4</v>
      </c>
      <c r="G141" s="73">
        <f>VLOOKUP(F9&amp;F12,Feuil4!C:LK,243,FALSE)</f>
        <v>52</v>
      </c>
      <c r="H141" s="2"/>
      <c r="I141" s="2"/>
      <c r="J141" s="2"/>
      <c r="K141" s="2"/>
      <c r="L141" s="74"/>
      <c r="M141" s="31"/>
      <c r="N141" s="31"/>
    </row>
    <row r="142" spans="1:16" s="49" customFormat="1" x14ac:dyDescent="0.25">
      <c r="A142"/>
      <c r="B142" s="12"/>
      <c r="C142" s="15" t="s">
        <v>62</v>
      </c>
      <c r="D142" s="22">
        <f>VLOOKUP(F9&amp;F12,Feuil4!C:LK,244,FALSE)</f>
        <v>0.14728682170542637</v>
      </c>
      <c r="E142" s="22">
        <f>VLOOKUP(F9&amp;F12,Feuil4!C:LK,245,FALSE)</f>
        <v>4.0332147093712932E-2</v>
      </c>
      <c r="F142" s="73">
        <f>VLOOKUP(F9&amp;F12,Feuil4!C:LK,246,FALSE)</f>
        <v>19</v>
      </c>
      <c r="G142" s="73">
        <f>VLOOKUP(F9&amp;F12,Feuil4!C:LK,247,FALSE)</f>
        <v>34</v>
      </c>
      <c r="H142" s="2"/>
      <c r="I142" s="2"/>
      <c r="J142" s="2"/>
      <c r="K142" s="2"/>
      <c r="L142" s="74"/>
      <c r="M142" s="31"/>
      <c r="N142" s="31"/>
    </row>
    <row r="143" spans="1:16" s="49" customFormat="1" x14ac:dyDescent="0.25">
      <c r="A143"/>
      <c r="B143" s="12"/>
      <c r="C143" s="15" t="s">
        <v>43</v>
      </c>
      <c r="D143" s="22">
        <f>VLOOKUP(F9&amp;F12,Feuil4!C:LK,248,FALSE)</f>
        <v>0.2558139534883721</v>
      </c>
      <c r="E143" s="22">
        <f>VLOOKUP(F9&amp;F12,Feuil4!C:LK,249,FALSE)</f>
        <v>0.2431791221826809</v>
      </c>
      <c r="F143" s="73">
        <f>VLOOKUP(F9&amp;F12,Feuil4!C:LK,250,FALSE)</f>
        <v>33</v>
      </c>
      <c r="G143" s="73">
        <f>VLOOKUP(F9&amp;F12,Feuil4!C:LK,251,FALSE)</f>
        <v>205</v>
      </c>
      <c r="H143" s="2"/>
      <c r="I143" s="2"/>
      <c r="J143" s="2"/>
      <c r="K143" s="2"/>
      <c r="L143" s="74"/>
      <c r="M143" s="31"/>
      <c r="N143" s="31"/>
    </row>
    <row r="144" spans="1:16" s="2" customFormat="1" x14ac:dyDescent="0.25">
      <c r="A144"/>
      <c r="B144"/>
      <c r="C144"/>
      <c r="D144"/>
      <c r="E144"/>
      <c r="J144"/>
      <c r="K144"/>
    </row>
    <row r="145" spans="1:16" s="2" customFormat="1" x14ac:dyDescent="0.25">
      <c r="A145"/>
      <c r="B145"/>
      <c r="C145"/>
      <c r="D145"/>
      <c r="E145" s="4" t="s">
        <v>93</v>
      </c>
      <c r="F145" s="6">
        <f>VLOOKUP(F9&amp;F12,Feuil4!C:LK,252,FALSE)</f>
        <v>56.855072463768117</v>
      </c>
      <c r="G145"/>
      <c r="H145" s="5" t="s">
        <v>1</v>
      </c>
      <c r="I145" s="6">
        <f>VLOOKUP(F9&amp;F12,Feuil4!C:LK,253,FALSE)</f>
        <v>74.587521663778162</v>
      </c>
      <c r="J145"/>
      <c r="K145"/>
    </row>
    <row r="146" spans="1:16" s="2" customFormat="1" x14ac:dyDescent="0.25">
      <c r="A146"/>
      <c r="B146"/>
      <c r="C146" s="18"/>
      <c r="D146"/>
      <c r="E146"/>
      <c r="H146"/>
      <c r="K146"/>
    </row>
    <row r="147" spans="1:16" s="2" customFormat="1" x14ac:dyDescent="0.25">
      <c r="A147"/>
      <c r="B147" s="12" t="s">
        <v>92</v>
      </c>
      <c r="C147" s="12"/>
      <c r="D147" s="12"/>
      <c r="E147" s="12"/>
      <c r="F147"/>
      <c r="H147"/>
      <c r="K147"/>
    </row>
    <row r="148" spans="1:16" s="2" customFormat="1" x14ac:dyDescent="0.25">
      <c r="A148"/>
      <c r="B148" s="12"/>
      <c r="C148" s="12"/>
      <c r="D148" s="12"/>
      <c r="E148" s="12"/>
      <c r="F148"/>
      <c r="H148"/>
      <c r="K148"/>
    </row>
    <row r="149" spans="1:16" s="2" customFormat="1" ht="30" customHeight="1" x14ac:dyDescent="0.25">
      <c r="A149"/>
      <c r="B149" s="12"/>
      <c r="C149" s="12"/>
      <c r="D149" s="115" t="s">
        <v>44</v>
      </c>
      <c r="E149" s="115" t="s">
        <v>1</v>
      </c>
      <c r="F149" s="115" t="s">
        <v>44</v>
      </c>
      <c r="G149" s="115" t="s">
        <v>1</v>
      </c>
      <c r="H149"/>
      <c r="K149"/>
    </row>
    <row r="150" spans="1:16" s="2" customFormat="1" x14ac:dyDescent="0.25">
      <c r="A150"/>
      <c r="B150" s="12"/>
      <c r="C150" s="15" t="s">
        <v>60</v>
      </c>
      <c r="D150" s="22">
        <f>VLOOKUP(F9&amp;F12,Feuil4!C:LK,254,FALSE)</f>
        <v>0.50724637681159424</v>
      </c>
      <c r="E150" s="22">
        <f>VLOOKUP(F9&amp;F12,Feuil4!C:LK,255,FALSE)</f>
        <v>0.515625</v>
      </c>
      <c r="F150" s="73">
        <f>VLOOKUP(F9&amp;F12,Feuil4!C:LK,256,FALSE)</f>
        <v>35</v>
      </c>
      <c r="G150" s="73">
        <f>VLOOKUP(F9&amp;F12,Feuil4!C:LK,257,FALSE)</f>
        <v>297</v>
      </c>
      <c r="L150" s="72"/>
      <c r="O150" s="2" t="e">
        <f>(COUNTIF(#REF!,'Par Territoire'!C150))</f>
        <v>#REF!</v>
      </c>
    </row>
    <row r="151" spans="1:16" s="2" customFormat="1" x14ac:dyDescent="0.25">
      <c r="A151"/>
      <c r="B151" s="12"/>
      <c r="C151" s="15" t="s">
        <v>42</v>
      </c>
      <c r="D151" s="22">
        <f>VLOOKUP(F9&amp;F12,Feuil4!C:LK,258,FALSE)</f>
        <v>0.15942028985507245</v>
      </c>
      <c r="E151" s="22">
        <f>VLOOKUP(F9&amp;F12,Feuil4!C:LK,259,FALSE)</f>
        <v>0.19444444444444445</v>
      </c>
      <c r="F151" s="73">
        <f>VLOOKUP(F9&amp;F12,Feuil4!C:LK,260,FALSE)</f>
        <v>11</v>
      </c>
      <c r="G151" s="73">
        <f>VLOOKUP(F9&amp;F12,Feuil4!C:LK,261,FALSE)</f>
        <v>112</v>
      </c>
      <c r="L151" s="72"/>
      <c r="O151" s="2" t="e">
        <f>(COUNTIF(#REF!,'Par Territoire'!C151))</f>
        <v>#REF!</v>
      </c>
    </row>
    <row r="152" spans="1:16" s="2" customFormat="1" x14ac:dyDescent="0.25">
      <c r="A152"/>
      <c r="B152" s="12"/>
      <c r="C152" s="15" t="s">
        <v>61</v>
      </c>
      <c r="D152" s="22">
        <f>VLOOKUP(F9&amp;F12,Feuil4!C:LK,262,FALSE)</f>
        <v>1.4492753623188406E-2</v>
      </c>
      <c r="E152" s="22">
        <f>VLOOKUP(F9&amp;F12,Feuil4!C:LK,263,FALSE)</f>
        <v>5.9027777777777776E-2</v>
      </c>
      <c r="F152" s="73">
        <f>VLOOKUP(F9&amp;F12,Feuil4!C:LK,264,FALSE)</f>
        <v>1</v>
      </c>
      <c r="G152" s="73">
        <f>VLOOKUP(F9&amp;F12,Feuil4!C:LK,265,FALSE)</f>
        <v>34</v>
      </c>
      <c r="L152" s="72"/>
      <c r="O152" s="2" t="e">
        <f>(COUNTIF(#REF!,'Par Territoire'!C152))</f>
        <v>#REF!</v>
      </c>
    </row>
    <row r="153" spans="1:16" s="2" customFormat="1" x14ac:dyDescent="0.25">
      <c r="A153"/>
      <c r="B153" s="12"/>
      <c r="C153" s="15" t="s">
        <v>62</v>
      </c>
      <c r="D153" s="22">
        <f>VLOOKUP(F9&amp;F12,Feuil4!C:LK,266,FALSE)</f>
        <v>0.10144927536231885</v>
      </c>
      <c r="E153" s="22">
        <f>VLOOKUP(F9&amp;F12,Feuil4!C:LK,267,FALSE)</f>
        <v>3.125E-2</v>
      </c>
      <c r="F153" s="73">
        <f>VLOOKUP(F9&amp;F12,Feuil4!C:LK,268,FALSE)</f>
        <v>7</v>
      </c>
      <c r="G153" s="73">
        <f>VLOOKUP(F9&amp;F12,Feuil4!C:LK,269,FALSE)</f>
        <v>18</v>
      </c>
      <c r="L153" s="72"/>
      <c r="O153" s="2" t="e">
        <f>(COUNTIF(#REF!,'Par Territoire'!C153))</f>
        <v>#REF!</v>
      </c>
    </row>
    <row r="154" spans="1:16" s="2" customFormat="1" x14ac:dyDescent="0.25">
      <c r="A154"/>
      <c r="B154" s="12"/>
      <c r="C154" s="15" t="s">
        <v>43</v>
      </c>
      <c r="D154" s="22">
        <f>VLOOKUP(F9&amp;F12,Feuil4!C:LK,270,FALSE)</f>
        <v>0.21739130434782608</v>
      </c>
      <c r="E154" s="22">
        <f>VLOOKUP(F9&amp;F12,Feuil4!C:LK,271,FALSE)</f>
        <v>0.2013888888888889</v>
      </c>
      <c r="F154" s="73">
        <f>VLOOKUP(F9&amp;F12,Feuil4!C:LK,272,FALSE)</f>
        <v>15</v>
      </c>
      <c r="G154" s="73">
        <f>VLOOKUP(F9&amp;F12,Feuil4!C:LK,273,FALSE)</f>
        <v>116</v>
      </c>
      <c r="L154" s="72"/>
      <c r="O154" s="2" t="e">
        <f>(COUNTIF(#REF!,'Par Territoire'!C154))</f>
        <v>#REF!</v>
      </c>
    </row>
    <row r="155" spans="1:16" x14ac:dyDescent="0.25">
      <c r="A155" s="67"/>
      <c r="C155" s="18"/>
    </row>
    <row r="156" spans="1:16" x14ac:dyDescent="0.25">
      <c r="C156" s="18"/>
    </row>
    <row r="157" spans="1:16" x14ac:dyDescent="0.25">
      <c r="B157" s="12" t="s">
        <v>47</v>
      </c>
      <c r="C157" s="12"/>
      <c r="D157" s="12"/>
      <c r="E157" s="12"/>
    </row>
    <row r="158" spans="1:16" ht="4.5" customHeight="1" x14ac:dyDescent="0.25">
      <c r="B158" s="12"/>
      <c r="C158" s="12"/>
      <c r="D158" s="12"/>
      <c r="E158" s="12"/>
    </row>
    <row r="159" spans="1:16" x14ac:dyDescent="0.25">
      <c r="B159" s="12"/>
      <c r="D159" s="12"/>
      <c r="E159" s="115" t="s">
        <v>44</v>
      </c>
      <c r="F159" s="115" t="s">
        <v>1</v>
      </c>
      <c r="G159" s="115" t="s">
        <v>44</v>
      </c>
      <c r="H159" s="115" t="s">
        <v>1</v>
      </c>
      <c r="L159" s="2"/>
      <c r="M159" s="2"/>
      <c r="N159" s="2"/>
      <c r="O159" s="2"/>
      <c r="P159" s="2"/>
    </row>
    <row r="160" spans="1:16" x14ac:dyDescent="0.25">
      <c r="B160" s="12"/>
      <c r="D160" s="15" t="s">
        <v>66</v>
      </c>
      <c r="E160" s="22">
        <f>VLOOKUP(F9&amp;F12,Feuil4!C:LK,274,FALSE)</f>
        <v>3.8461538461538464E-2</v>
      </c>
      <c r="F160" s="22">
        <f>VLOOKUP(F9&amp;F12,Feuil4!C:LK,275,FALSE)</f>
        <v>7.1895424836601302E-2</v>
      </c>
      <c r="G160" s="73">
        <f>VLOOKUP(F9&amp;F12,Feuil4!C:LK,276,FALSE)</f>
        <v>1</v>
      </c>
      <c r="H160" s="73">
        <f>VLOOKUP(F9&amp;F12,Feuil4!C:LK,277,FALSE)</f>
        <v>11</v>
      </c>
      <c r="I160" s="32"/>
      <c r="J160" s="32"/>
      <c r="K160" s="32"/>
      <c r="L160" s="32"/>
      <c r="M160" s="2"/>
      <c r="N160" s="2"/>
      <c r="O160" s="2"/>
      <c r="P160" s="2"/>
    </row>
    <row r="161" spans="2:16" x14ac:dyDescent="0.25">
      <c r="B161" s="12"/>
      <c r="D161" s="15" t="s">
        <v>42</v>
      </c>
      <c r="E161" s="22">
        <f>VLOOKUP(F9&amp;F12,Feuil4!C:LK,278,FALSE)</f>
        <v>0.73076923076923073</v>
      </c>
      <c r="F161" s="22">
        <f>VLOOKUP(F9&amp;F12,Feuil4!C:LK,279,FALSE)</f>
        <v>0.69281045751633985</v>
      </c>
      <c r="G161" s="73">
        <f>VLOOKUP(F9&amp;F12,Feuil4!C:LK,280,FALSE)</f>
        <v>19</v>
      </c>
      <c r="H161" s="73">
        <f>VLOOKUP(F9&amp;F12,Feuil4!C:LK,281,FALSE)</f>
        <v>106</v>
      </c>
      <c r="I161" s="32"/>
      <c r="J161" s="32"/>
      <c r="K161" s="32"/>
      <c r="L161" s="32"/>
      <c r="M161" s="2"/>
      <c r="N161" s="2"/>
      <c r="O161" s="2"/>
      <c r="P161" s="2"/>
    </row>
    <row r="162" spans="2:16" x14ac:dyDescent="0.25">
      <c r="B162" s="12"/>
      <c r="D162" s="15" t="s">
        <v>65</v>
      </c>
      <c r="E162" s="22">
        <f>VLOOKUP(F9&amp;F12,Feuil4!C:LK,282,FALSE)</f>
        <v>0.11538461538461539</v>
      </c>
      <c r="F162" s="22">
        <f>VLOOKUP(F9&amp;F12,Feuil4!C:LK,283,FALSE)</f>
        <v>7.1895424836601302E-2</v>
      </c>
      <c r="G162" s="73">
        <f>VLOOKUP(F9&amp;F12,Feuil4!C:LK,284,FALSE)</f>
        <v>3</v>
      </c>
      <c r="H162" s="73">
        <f>VLOOKUP(F9&amp;F12,Feuil4!C:LK,285,FALSE)</f>
        <v>11</v>
      </c>
      <c r="I162" s="32"/>
      <c r="J162" s="32"/>
      <c r="K162" s="32"/>
      <c r="L162" s="32"/>
      <c r="M162" s="2"/>
      <c r="N162" s="2"/>
      <c r="O162" s="2"/>
      <c r="P162" s="2"/>
    </row>
    <row r="163" spans="2:16" x14ac:dyDescent="0.25">
      <c r="B163" s="12"/>
      <c r="D163" s="15" t="s">
        <v>48</v>
      </c>
      <c r="E163" s="22">
        <f>VLOOKUP(F9&amp;F12,Feuil4!C:LK,286,FALSE)</f>
        <v>0</v>
      </c>
      <c r="F163" s="22">
        <f>VLOOKUP(F9&amp;F12,Feuil4!C:LK,287,FALSE)</f>
        <v>3.9215686274509803E-2</v>
      </c>
      <c r="G163" s="73">
        <f>VLOOKUP(F9&amp;F12,Feuil4!C:LK,288,FALSE)</f>
        <v>0</v>
      </c>
      <c r="H163" s="73">
        <f>VLOOKUP(F9&amp;F12,Feuil4!C:LK,289,FALSE)</f>
        <v>6</v>
      </c>
      <c r="I163" s="32"/>
      <c r="J163" s="32"/>
      <c r="K163" s="32"/>
      <c r="L163" s="32"/>
      <c r="M163" s="2"/>
      <c r="N163" s="2"/>
      <c r="O163" s="2"/>
      <c r="P163" s="2"/>
    </row>
    <row r="164" spans="2:16" x14ac:dyDescent="0.25">
      <c r="B164" s="12"/>
      <c r="D164" s="15" t="s">
        <v>43</v>
      </c>
      <c r="E164" s="22">
        <f>VLOOKUP(F9&amp;F12,Feuil4!C:LK,290,FALSE)</f>
        <v>0.11538461538461542</v>
      </c>
      <c r="F164" s="22">
        <f>VLOOKUP(F9&amp;F12,Feuil4!C:LK,291,FALSE)</f>
        <v>0.12418300653594783</v>
      </c>
      <c r="G164" s="73">
        <f>VLOOKUP(F9&amp;F12,Feuil4!C:LK,292,FALSE)</f>
        <v>3</v>
      </c>
      <c r="H164" s="73">
        <f>VLOOKUP(F9&amp;F12,Feuil4!C:LK,293,FALSE)</f>
        <v>19</v>
      </c>
      <c r="I164" s="32"/>
      <c r="J164" s="32"/>
      <c r="K164" s="32"/>
      <c r="L164" s="32"/>
      <c r="M164" s="2"/>
      <c r="N164" s="2"/>
      <c r="O164" s="2"/>
      <c r="P164" s="2"/>
    </row>
    <row r="165" spans="2:16" x14ac:dyDescent="0.25">
      <c r="B165" s="12"/>
      <c r="D165" s="15"/>
      <c r="E165" s="12"/>
      <c r="F165" s="12"/>
      <c r="G165" s="2">
        <v>77.52</v>
      </c>
      <c r="H165" s="2"/>
      <c r="I165" s="2"/>
      <c r="J165" s="2"/>
      <c r="L165" s="2"/>
      <c r="M165" s="2"/>
      <c r="N165" s="2"/>
      <c r="O165" s="2"/>
      <c r="P165" s="2"/>
    </row>
    <row r="166" spans="2:16" ht="6" customHeight="1" x14ac:dyDescent="0.25">
      <c r="G166" s="2"/>
      <c r="H166" s="2"/>
      <c r="I166" s="2"/>
      <c r="J166" s="2"/>
    </row>
    <row r="167" spans="2:16" x14ac:dyDescent="0.25">
      <c r="B167" s="12" t="s">
        <v>53</v>
      </c>
      <c r="C167" s="12"/>
      <c r="D167" s="12"/>
      <c r="E167" s="12"/>
      <c r="G167" s="2"/>
      <c r="H167" s="2"/>
      <c r="I167" s="2"/>
      <c r="J167" s="2"/>
    </row>
    <row r="168" spans="2:16" ht="5.25" customHeight="1" x14ac:dyDescent="0.25">
      <c r="B168" s="12"/>
      <c r="C168" s="12"/>
      <c r="D168" s="12"/>
      <c r="E168" s="12"/>
      <c r="G168" s="2"/>
      <c r="H168" s="2"/>
      <c r="I168" s="2"/>
      <c r="J168" s="2"/>
    </row>
    <row r="169" spans="2:16" x14ac:dyDescent="0.25">
      <c r="B169" s="12"/>
      <c r="D169" s="12"/>
      <c r="E169" s="115" t="s">
        <v>44</v>
      </c>
      <c r="F169" s="115" t="s">
        <v>1</v>
      </c>
      <c r="G169" s="115" t="s">
        <v>44</v>
      </c>
      <c r="H169" s="115" t="s">
        <v>1</v>
      </c>
      <c r="I169" s="2"/>
      <c r="J169" s="2"/>
    </row>
    <row r="170" spans="2:16" x14ac:dyDescent="0.25">
      <c r="B170" s="12"/>
      <c r="D170" s="15" t="s">
        <v>49</v>
      </c>
      <c r="E170" s="22">
        <f>VLOOKUP(F9&amp;F12,Feuil4!C:LK,294,FALSE)</f>
        <v>3.8461538461538464E-2</v>
      </c>
      <c r="F170" s="22">
        <f>VLOOKUP(F9&amp;F12,Feuil4!C:LK,295,FALSE)</f>
        <v>0.15584415584415584</v>
      </c>
      <c r="G170" s="73">
        <f>VLOOKUP(F9&amp;F12,Feuil4!C:LK,296,FALSE)</f>
        <v>1</v>
      </c>
      <c r="H170" s="73">
        <f>VLOOKUP(F9&amp;F12,Feuil4!C:LK,297,FALSE)</f>
        <v>24</v>
      </c>
      <c r="I170" s="32"/>
      <c r="J170" s="32"/>
      <c r="K170" s="32"/>
      <c r="L170" s="32"/>
      <c r="M170" s="2"/>
      <c r="N170" s="2"/>
      <c r="O170" s="2"/>
      <c r="P170" s="2"/>
    </row>
    <row r="171" spans="2:16" x14ac:dyDescent="0.25">
      <c r="B171" s="12"/>
      <c r="D171" s="15" t="s">
        <v>63</v>
      </c>
      <c r="E171" s="22">
        <f>VLOOKUP(F9&amp;F12,Feuil4!C:LK,298,FALSE)</f>
        <v>7.6923076923076927E-2</v>
      </c>
      <c r="F171" s="22">
        <f>VLOOKUP(F9&amp;F12,Feuil4!C:LK,299,FALSE)</f>
        <v>0.14935064935064934</v>
      </c>
      <c r="G171" s="73">
        <f>VLOOKUP(F9&amp;F12,Feuil4!C:LK,300,FALSE)</f>
        <v>2</v>
      </c>
      <c r="H171" s="73">
        <f>VLOOKUP(F9&amp;F12,Feuil4!C:LK,301,FALSE)</f>
        <v>23</v>
      </c>
      <c r="I171" s="32"/>
      <c r="J171" s="32"/>
      <c r="K171" s="32"/>
      <c r="L171" s="32"/>
      <c r="M171" s="2"/>
      <c r="N171" s="2"/>
      <c r="O171" s="2"/>
      <c r="P171" s="2"/>
    </row>
    <row r="172" spans="2:16" x14ac:dyDescent="0.25">
      <c r="B172" s="12"/>
      <c r="D172" s="15" t="s">
        <v>66</v>
      </c>
      <c r="E172" s="22">
        <f>VLOOKUP(F9&amp;F12,Feuil4!C:LK,302,FALSE)</f>
        <v>0.26923076923076922</v>
      </c>
      <c r="F172" s="22">
        <f>VLOOKUP(F9&amp;F12,Feuil4!C:LK,303,FALSE)</f>
        <v>0.14285714285714285</v>
      </c>
      <c r="G172" s="73">
        <f>VLOOKUP(F9&amp;F12,Feuil4!C:LK,304,FALSE)</f>
        <v>7</v>
      </c>
      <c r="H172" s="73">
        <f>VLOOKUP(F9&amp;F12,Feuil4!C:LK,305,FALSE)</f>
        <v>22</v>
      </c>
      <c r="I172" s="32"/>
      <c r="J172" s="32"/>
      <c r="K172" s="32"/>
      <c r="L172" s="32"/>
      <c r="M172" s="2"/>
      <c r="N172" s="2"/>
      <c r="O172" s="2"/>
      <c r="P172" s="2"/>
    </row>
    <row r="173" spans="2:16" x14ac:dyDescent="0.25">
      <c r="B173" s="12"/>
      <c r="D173" s="15" t="s">
        <v>64</v>
      </c>
      <c r="E173" s="22">
        <f>VLOOKUP(F9&amp;F12,Feuil4!C:LK,306,FALSE)</f>
        <v>0</v>
      </c>
      <c r="F173" s="22">
        <f>VLOOKUP(F9&amp;F12,Feuil4!C:LK,307,FALSE)</f>
        <v>8.4415584415584416E-2</v>
      </c>
      <c r="G173" s="73">
        <f>VLOOKUP(F9&amp;F12,Feuil4!C:LK,308,FALSE)</f>
        <v>0</v>
      </c>
      <c r="H173" s="73">
        <f>VLOOKUP(F9&amp;F12,Feuil4!C:LK,309,FALSE)</f>
        <v>13</v>
      </c>
      <c r="I173" s="32"/>
      <c r="J173" s="32"/>
      <c r="K173" s="32"/>
      <c r="L173" s="32"/>
      <c r="M173" s="2"/>
      <c r="N173" s="2"/>
      <c r="O173" s="2"/>
      <c r="P173" s="2"/>
    </row>
    <row r="174" spans="2:16" x14ac:dyDescent="0.25">
      <c r="B174" s="12"/>
      <c r="D174" s="15" t="s">
        <v>43</v>
      </c>
      <c r="E174" s="22">
        <f>VLOOKUP(F9&amp;F12,Feuil4!C:LK,310,FALSE)</f>
        <v>0.61538461538461542</v>
      </c>
      <c r="F174" s="22">
        <f>VLOOKUP(F9&amp;F12,Feuil4!C:LK,311,FALSE)</f>
        <v>0.46753246753246758</v>
      </c>
      <c r="G174" s="73">
        <f>VLOOKUP(F9&amp;F12,Feuil4!C:LK,312,FALSE)</f>
        <v>16</v>
      </c>
      <c r="H174" s="73">
        <f>VLOOKUP(F9&amp;F12,Feuil4!C:LK,313,FALSE)</f>
        <v>72</v>
      </c>
      <c r="I174" s="32"/>
      <c r="J174" s="32"/>
      <c r="K174" s="32"/>
      <c r="L174" s="32"/>
      <c r="M174" s="2"/>
      <c r="N174" s="2"/>
      <c r="O174" s="2"/>
      <c r="P174" s="2"/>
    </row>
    <row r="175" spans="2:16" x14ac:dyDescent="0.25">
      <c r="B175" s="12"/>
      <c r="D175" s="15"/>
      <c r="E175" s="12"/>
      <c r="F175" s="12"/>
      <c r="M175" s="2"/>
      <c r="N175" s="2"/>
      <c r="O175" s="2"/>
      <c r="P175" s="2"/>
    </row>
    <row r="176" spans="2:16" ht="15" hidden="1" customHeight="1" x14ac:dyDescent="0.25">
      <c r="E176" s="4" t="s">
        <v>46</v>
      </c>
      <c r="F176" s="6" t="e">
        <f>IF($F$12="Tous les ages",G177,F177)</f>
        <v>#REF!</v>
      </c>
      <c r="H176" s="5" t="s">
        <v>1</v>
      </c>
      <c r="I176" s="6" t="e">
        <f>IF($F$12="Tous les ages",J177,I177)</f>
        <v>#REF!</v>
      </c>
    </row>
    <row r="177" spans="1:10" ht="15" hidden="1" customHeight="1" x14ac:dyDescent="0.25">
      <c r="F177" s="2" t="e">
        <f>AVERAGEIFS(#REF!,#REF!,"HAD",#REF!,$F$9,#REF!,$F$12)</f>
        <v>#REF!</v>
      </c>
      <c r="G177" s="2" t="e">
        <f>AVERAGEIFS(#REF!,#REF!,"HAD",#REF!,$F$9)</f>
        <v>#REF!</v>
      </c>
      <c r="I177" s="2" t="e">
        <f>AVERAGEIFS(#REF!,#REF!,"HAD",#REF!,$F$12)</f>
        <v>#REF!</v>
      </c>
      <c r="J177" s="2" t="e">
        <f>AVERAGEIFS(#REF!,#REF!,"HAD")</f>
        <v>#REF!</v>
      </c>
    </row>
    <row r="178" spans="1:10" ht="33" customHeight="1" x14ac:dyDescent="0.25">
      <c r="A178" s="121" t="s">
        <v>101</v>
      </c>
      <c r="B178" s="121"/>
      <c r="C178" s="121"/>
      <c r="D178" s="121"/>
      <c r="E178" s="122"/>
      <c r="F178" s="27">
        <f>VLOOKUP(F9&amp;F12,Feuil4!C:LK,314,FALSE)</f>
        <v>0.43795620437956206</v>
      </c>
      <c r="G178" s="3"/>
      <c r="H178" s="26" t="s">
        <v>1</v>
      </c>
      <c r="I178" s="27">
        <f>VLOOKUP(F9&amp;F12,Feuil4!C:LK,318,FALSE)</f>
        <v>0.44334160463192723</v>
      </c>
    </row>
    <row r="179" spans="1:10" x14ac:dyDescent="0.25">
      <c r="F179" s="2"/>
      <c r="G179" s="2"/>
      <c r="H179" s="2"/>
      <c r="I179" s="2"/>
    </row>
    <row r="180" spans="1:10" x14ac:dyDescent="0.25">
      <c r="E180" s="60" t="s">
        <v>6</v>
      </c>
      <c r="F180" s="27">
        <f>VLOOKUP(F9&amp;F12,Feuil4!C:LK,315,FALSE)</f>
        <v>0.37956204379562042</v>
      </c>
      <c r="H180" s="61" t="s">
        <v>6</v>
      </c>
      <c r="I180" s="27">
        <f>VLOOKUP(F9&amp;F12,Feuil4!C:LK,319,FALSE)</f>
        <v>0.38792390405293631</v>
      </c>
    </row>
    <row r="181" spans="1:10" x14ac:dyDescent="0.25">
      <c r="E181" s="60"/>
      <c r="F181" s="2"/>
      <c r="G181" s="2"/>
      <c r="H181" s="62"/>
      <c r="I181" s="2"/>
    </row>
    <row r="182" spans="1:10" x14ac:dyDescent="0.25">
      <c r="E182" s="60" t="s">
        <v>8</v>
      </c>
      <c r="F182" s="27">
        <f>VLOOKUP(F9&amp;F12,Feuil4!C:LK,316,FALSE)</f>
        <v>3.6496350364963502E-3</v>
      </c>
      <c r="H182" s="61" t="s">
        <v>8</v>
      </c>
      <c r="I182" s="27">
        <f>VLOOKUP(F9&amp;F12,Feuil4!C:LK,320,FALSE)</f>
        <v>1.282051282051282E-2</v>
      </c>
    </row>
    <row r="183" spans="1:10" x14ac:dyDescent="0.25">
      <c r="E183" s="60"/>
      <c r="F183" s="2"/>
      <c r="G183" s="2"/>
      <c r="H183" s="62"/>
      <c r="I183" s="2"/>
    </row>
    <row r="184" spans="1:10" x14ac:dyDescent="0.25">
      <c r="E184" s="60" t="s">
        <v>7</v>
      </c>
      <c r="F184" s="27">
        <f>VLOOKUP(F9&amp;F12,Feuil4!C:LK,317,FALSE)</f>
        <v>5.47445255474453E-2</v>
      </c>
      <c r="H184" s="61" t="s">
        <v>7</v>
      </c>
      <c r="I184" s="27">
        <f>VLOOKUP(F9&amp;F12,Feuil4!C:LK,321,FALSE)</f>
        <v>4.2597187758478094E-2</v>
      </c>
    </row>
    <row r="185" spans="1:10" x14ac:dyDescent="0.25">
      <c r="F185" s="2"/>
      <c r="G185" s="2"/>
      <c r="H185" s="2"/>
      <c r="I185" s="2"/>
    </row>
    <row r="186" spans="1:10" ht="15" hidden="1" customHeight="1" x14ac:dyDescent="0.25"/>
    <row r="187" spans="1:10" ht="15" hidden="1" customHeight="1" x14ac:dyDescent="0.25"/>
    <row r="188" spans="1:10" ht="15" hidden="1" customHeight="1" x14ac:dyDescent="0.25">
      <c r="B188" s="29" t="e">
        <f>COUNTIFS(#REF!,'Par Territoire'!$F$12,#REF!,'Par Territoire'!$F$9,#REF!,'Par Territoire'!$B90)/COUNTIFS(#REF!,'Par Territoire'!$F$12,#REF!,'Par Territoire'!$F$9)</f>
        <v>#REF!</v>
      </c>
      <c r="C188" s="46" t="e">
        <f>COUNTIFS(#REF!,'Par Territoire'!$F$9,#REF!,'Par Territoire'!$B90)/COUNTIFS(#REF!,'Par Territoire'!$F$9)</f>
        <v>#REF!</v>
      </c>
      <c r="D188" s="29" t="e">
        <f>COUNTIFS(#REF!,'Par Territoire'!$F$12,#REF!,'Par Territoire'!$B90)/COUNTIFS(#REF!,'Par Territoire'!$F$12)</f>
        <v>#REF!</v>
      </c>
      <c r="E188" s="47" t="e">
        <f>COUNTIFS(#REF!,'Par Territoire'!$B90)/$K$21</f>
        <v>#REF!</v>
      </c>
      <c r="F188" t="e">
        <f>COUNTIFS(#REF!,'Par Territoire'!$F$12,#REF!,'Par Territoire'!$F$9,#REF!,'Par Territoire'!$B90)</f>
        <v>#REF!</v>
      </c>
      <c r="G188" t="e">
        <f>COUNTIFS(#REF!,'Par Territoire'!$F$9,#REF!,'Par Territoire'!$B90)</f>
        <v>#REF!</v>
      </c>
      <c r="H188" t="e">
        <f>COUNTIFS(#REF!,'Par Territoire'!$F$12,#REF!,'Par Territoire'!$B90)</f>
        <v>#REF!</v>
      </c>
      <c r="I188" t="e">
        <f>COUNTIFS(#REF!,'Par Territoire'!$B90)</f>
        <v>#REF!</v>
      </c>
    </row>
    <row r="189" spans="1:10" ht="15" hidden="1" customHeight="1" x14ac:dyDescent="0.25">
      <c r="B189" s="29" t="e">
        <f>COUNTIFS(#REF!,'Par Territoire'!$F$12,#REF!,'Par Territoire'!$F$9,#REF!,'Par Territoire'!$B91)/COUNTIFS(#REF!,'Par Territoire'!$F$12,#REF!,'Par Territoire'!$F$9)</f>
        <v>#REF!</v>
      </c>
      <c r="C189" s="46" t="e">
        <f>COUNTIFS(#REF!,'Par Territoire'!$F$9,#REF!,'Par Territoire'!$B91)/COUNTIFS(#REF!,'Par Territoire'!$F$9)</f>
        <v>#REF!</v>
      </c>
      <c r="D189" s="29" t="e">
        <f>COUNTIFS(#REF!,'Par Territoire'!$F$12,#REF!,'Par Territoire'!$B91)/COUNTIFS(#REF!,'Par Territoire'!$F$12)</f>
        <v>#REF!</v>
      </c>
      <c r="E189" s="47" t="e">
        <f>COUNTIFS(#REF!,'Par Territoire'!$B91)/$K$21</f>
        <v>#REF!</v>
      </c>
      <c r="F189" t="e">
        <f>COUNTIFS(#REF!,'Par Territoire'!$F$12,#REF!,'Par Territoire'!$F$9,#REF!,'Par Territoire'!$B91)</f>
        <v>#REF!</v>
      </c>
      <c r="G189" t="e">
        <f>COUNTIFS(#REF!,'Par Territoire'!$F$9,#REF!,'Par Territoire'!$B91)</f>
        <v>#REF!</v>
      </c>
      <c r="H189" t="e">
        <f>COUNTIFS(#REF!,'Par Territoire'!$F$12,#REF!,'Par Territoire'!$B91)</f>
        <v>#REF!</v>
      </c>
      <c r="I189" t="e">
        <f>COUNTIFS(#REF!,'Par Territoire'!$B91)</f>
        <v>#REF!</v>
      </c>
    </row>
    <row r="190" spans="1:10" ht="15" hidden="1" customHeight="1" x14ac:dyDescent="0.25">
      <c r="B190" s="29" t="e">
        <f>COUNTIFS(#REF!,'Par Territoire'!$F$12,#REF!,'Par Territoire'!$F$9,#REF!,'Par Territoire'!$B92)/COUNTIFS(#REF!,'Par Territoire'!$F$12,#REF!,'Par Territoire'!$F$9)</f>
        <v>#REF!</v>
      </c>
      <c r="C190" s="46" t="e">
        <f>COUNTIFS(#REF!,'Par Territoire'!$F$9,#REF!,'Par Territoire'!$B92)/COUNTIFS(#REF!,'Par Territoire'!$F$9)</f>
        <v>#REF!</v>
      </c>
      <c r="D190" s="29" t="e">
        <f>COUNTIFS(#REF!,'Par Territoire'!$F$12,#REF!,'Par Territoire'!$B92)/COUNTIFS(#REF!,'Par Territoire'!$F$12)</f>
        <v>#REF!</v>
      </c>
      <c r="E190" s="47" t="e">
        <f>COUNTIFS(#REF!,'Par Territoire'!$B92)/$K$21</f>
        <v>#REF!</v>
      </c>
      <c r="F190" t="e">
        <f>COUNTIFS(#REF!,'Par Territoire'!$F$12,#REF!,'Par Territoire'!$F$9,#REF!,'Par Territoire'!$B92)</f>
        <v>#REF!</v>
      </c>
      <c r="G190" t="e">
        <f>COUNTIFS(#REF!,'Par Territoire'!$F$9,#REF!,'Par Territoire'!$B92)</f>
        <v>#REF!</v>
      </c>
      <c r="H190" t="e">
        <f>COUNTIFS(#REF!,'Par Territoire'!$F$12,#REF!,'Par Territoire'!$B92)</f>
        <v>#REF!</v>
      </c>
      <c r="I190" t="e">
        <f>COUNTIFS(#REF!,'Par Territoire'!$B92)</f>
        <v>#REF!</v>
      </c>
    </row>
    <row r="191" spans="1:10" ht="15" hidden="1" customHeight="1" x14ac:dyDescent="0.25">
      <c r="B191" s="29" t="e">
        <f>COUNTIFS(#REF!,'Par Territoire'!$F$12,#REF!,'Par Territoire'!$F$9,#REF!,'Par Territoire'!$B93)/COUNTIFS(#REF!,'Par Territoire'!$F$12,#REF!,'Par Territoire'!$F$9)</f>
        <v>#REF!</v>
      </c>
      <c r="C191" s="46" t="e">
        <f>COUNTIFS(#REF!,'Par Territoire'!$F$9,#REF!,'Par Territoire'!$B93)/COUNTIFS(#REF!,'Par Territoire'!$F$9)</f>
        <v>#REF!</v>
      </c>
      <c r="D191" s="29" t="e">
        <f>COUNTIFS(#REF!,'Par Territoire'!$F$12,#REF!,'Par Territoire'!$B93)/COUNTIFS(#REF!,'Par Territoire'!$F$12)</f>
        <v>#REF!</v>
      </c>
      <c r="E191" s="47" t="e">
        <f>COUNTIFS(#REF!,'Par Territoire'!$B93)/$K$21</f>
        <v>#REF!</v>
      </c>
      <c r="F191" t="e">
        <f>COUNTIFS(#REF!,'Par Territoire'!$F$12,#REF!,'Par Territoire'!$F$9,#REF!,'Par Territoire'!$B93)</f>
        <v>#REF!</v>
      </c>
      <c r="G191" t="e">
        <f>COUNTIFS(#REF!,'Par Territoire'!$F$9,#REF!,'Par Territoire'!$B93)</f>
        <v>#REF!</v>
      </c>
      <c r="H191" t="e">
        <f>COUNTIFS(#REF!,'Par Territoire'!$F$12,#REF!,'Par Territoire'!$B93)</f>
        <v>#REF!</v>
      </c>
      <c r="I191" t="e">
        <f>COUNTIFS(#REF!,'Par Territoire'!$B93)</f>
        <v>#REF!</v>
      </c>
    </row>
    <row r="192" spans="1:10" ht="15" hidden="1" customHeight="1" x14ac:dyDescent="0.25">
      <c r="B192" s="29" t="e">
        <f>COUNTIFS(#REF!,'Par Territoire'!$F$12,#REF!,'Par Territoire'!$F$9,#REF!,'Par Territoire'!$B94)/COUNTIFS(#REF!,'Par Territoire'!$F$12,#REF!,'Par Territoire'!$F$9)</f>
        <v>#REF!</v>
      </c>
      <c r="C192" s="46" t="e">
        <f>COUNTIFS(#REF!,'Par Territoire'!$F$9,#REF!,'Par Territoire'!$B94)/COUNTIFS(#REF!,'Par Territoire'!$F$9)</f>
        <v>#REF!</v>
      </c>
      <c r="D192" s="29" t="e">
        <f>COUNTIFS(#REF!,'Par Territoire'!$F$12,#REF!,'Par Territoire'!$B94)/COUNTIFS(#REF!,'Par Territoire'!$F$12)</f>
        <v>#REF!</v>
      </c>
      <c r="E192" s="47" t="e">
        <f>COUNTIFS(#REF!,'Par Territoire'!$B94)/$K$21</f>
        <v>#REF!</v>
      </c>
      <c r="F192" t="e">
        <f>COUNTIFS(#REF!,'Par Territoire'!$F$12,#REF!,'Par Territoire'!$F$9,#REF!,'Par Territoire'!$B94)</f>
        <v>#REF!</v>
      </c>
      <c r="G192" t="e">
        <f>COUNTIFS(#REF!,'Par Territoire'!$F$9,#REF!,'Par Territoire'!$B94)</f>
        <v>#REF!</v>
      </c>
      <c r="H192" t="e">
        <f>COUNTIFS(#REF!,'Par Territoire'!$F$12,#REF!,'Par Territoire'!$B94)</f>
        <v>#REF!</v>
      </c>
      <c r="I192" t="e">
        <f>COUNTIFS(#REF!,'Par Territoire'!$B94)</f>
        <v>#REF!</v>
      </c>
    </row>
    <row r="193" spans="2:9" ht="15" hidden="1" customHeight="1" x14ac:dyDescent="0.25">
      <c r="B193" s="29" t="e">
        <f>COUNTIFS(#REF!,'Par Territoire'!$F$12,#REF!,'Par Territoire'!$F$9,#REF!,'Par Territoire'!$B95)/COUNTIFS(#REF!,'Par Territoire'!$F$12,#REF!,'Par Territoire'!$F$9)</f>
        <v>#REF!</v>
      </c>
      <c r="C193" s="46" t="e">
        <f>COUNTIFS(#REF!,'Par Territoire'!$F$9,#REF!,'Par Territoire'!$B95)/COUNTIFS(#REF!,'Par Territoire'!$F$9)</f>
        <v>#REF!</v>
      </c>
      <c r="D193" s="29" t="e">
        <f>COUNTIFS(#REF!,'Par Territoire'!$F$12,#REF!,'Par Territoire'!$B95)/COUNTIFS(#REF!,'Par Territoire'!$F$12)</f>
        <v>#REF!</v>
      </c>
      <c r="E193" s="47" t="e">
        <f>COUNTIFS(#REF!,'Par Territoire'!$B95)/$K$21</f>
        <v>#REF!</v>
      </c>
      <c r="F193" t="e">
        <f>COUNTIFS(#REF!,'Par Territoire'!$F$12,#REF!,'Par Territoire'!$F$9,#REF!,'Par Territoire'!$B95)</f>
        <v>#REF!</v>
      </c>
      <c r="G193" t="e">
        <f>COUNTIFS(#REF!,'Par Territoire'!$F$9,#REF!,'Par Territoire'!$B95)</f>
        <v>#REF!</v>
      </c>
      <c r="H193" t="e">
        <f>COUNTIFS(#REF!,'Par Territoire'!$F$12,#REF!,'Par Territoire'!$B95)</f>
        <v>#REF!</v>
      </c>
      <c r="I193" t="e">
        <f>COUNTIFS(#REF!,'Par Territoire'!$B95)</f>
        <v>#REF!</v>
      </c>
    </row>
    <row r="194" spans="2:9" ht="15" hidden="1" customHeight="1" x14ac:dyDescent="0.25">
      <c r="B194" s="29" t="e">
        <f>COUNTIFS(#REF!,'Par Territoire'!$F$12,#REF!,'Par Territoire'!$F$9,#REF!,'Par Territoire'!$B96)/COUNTIFS(#REF!,'Par Territoire'!$F$12,#REF!,'Par Territoire'!$F$9)</f>
        <v>#REF!</v>
      </c>
      <c r="C194" s="46" t="e">
        <f>COUNTIFS(#REF!,'Par Territoire'!$F$9,#REF!,'Par Territoire'!$B96)/COUNTIFS(#REF!,'Par Territoire'!$F$9)</f>
        <v>#REF!</v>
      </c>
      <c r="D194" s="29" t="e">
        <f>COUNTIFS(#REF!,'Par Territoire'!$F$12,#REF!,'Par Territoire'!$B96)/COUNTIFS(#REF!,'Par Territoire'!$F$12)</f>
        <v>#REF!</v>
      </c>
      <c r="E194" s="47" t="e">
        <f>COUNTIFS(#REF!,'Par Territoire'!$B96)/$K$21</f>
        <v>#REF!</v>
      </c>
      <c r="F194" t="e">
        <f>COUNTIFS(#REF!,'Par Territoire'!$F$12,#REF!,'Par Territoire'!$F$9,#REF!,'Par Territoire'!$B96)</f>
        <v>#REF!</v>
      </c>
      <c r="G194" t="e">
        <f>COUNTIFS(#REF!,'Par Territoire'!$F$9,#REF!,'Par Territoire'!$B96)</f>
        <v>#REF!</v>
      </c>
      <c r="H194" t="e">
        <f>COUNTIFS(#REF!,'Par Territoire'!$F$12,#REF!,'Par Territoire'!$B96)</f>
        <v>#REF!</v>
      </c>
      <c r="I194" t="e">
        <f>COUNTIFS(#REF!,'Par Territoire'!$B96)</f>
        <v>#REF!</v>
      </c>
    </row>
    <row r="195" spans="2:9" ht="15" hidden="1" customHeight="1" x14ac:dyDescent="0.25">
      <c r="B195" s="29" t="e">
        <f>COUNTIFS(#REF!,'Par Territoire'!$F$12,#REF!,'Par Territoire'!$F$9,#REF!,'Par Territoire'!#REF!)/COUNTIFS(#REF!,'Par Territoire'!$F$12,#REF!,'Par Territoire'!$F$9)</f>
        <v>#REF!</v>
      </c>
      <c r="C195" s="46" t="e">
        <f>COUNTIFS(#REF!,'Par Territoire'!$F$9,#REF!,'Par Territoire'!#REF!)/COUNTIFS(#REF!,'Par Territoire'!$F$9)</f>
        <v>#REF!</v>
      </c>
      <c r="D195" s="29" t="e">
        <f>COUNTIFS(#REF!,'Par Territoire'!$F$12,#REF!,'Par Territoire'!#REF!)/COUNTIFS(#REF!,'Par Territoire'!$F$12)</f>
        <v>#REF!</v>
      </c>
      <c r="E195" s="47" t="e">
        <f>COUNTIFS(#REF!,'Par Territoire'!#REF!)/$K$21</f>
        <v>#REF!</v>
      </c>
      <c r="F195" t="e">
        <f>COUNTIFS(#REF!,'Par Territoire'!$F$12,#REF!,'Par Territoire'!$F$9,#REF!,'Par Territoire'!$B97)</f>
        <v>#REF!</v>
      </c>
      <c r="G195" t="e">
        <f>COUNTIFS(#REF!,'Par Territoire'!$F$9,#REF!,'Par Territoire'!$B97)</f>
        <v>#REF!</v>
      </c>
      <c r="H195" t="e">
        <f>COUNTIFS(#REF!,'Par Territoire'!$F$12,#REF!,'Par Territoire'!$B97)</f>
        <v>#REF!</v>
      </c>
      <c r="I195" t="e">
        <f>COUNTIFS(#REF!,'Par Territoire'!$B97)</f>
        <v>#REF!</v>
      </c>
    </row>
    <row r="196" spans="2:9" ht="15" hidden="1" customHeight="1" x14ac:dyDescent="0.25">
      <c r="B196" s="29" t="e">
        <f>COUNTIFS(#REF!,'Par Territoire'!$F$12,#REF!,'Par Territoire'!$F$9,#REF!,'Par Territoire'!$B97)/COUNTIFS(#REF!,'Par Territoire'!$F$12,#REF!,'Par Territoire'!$F$9)</f>
        <v>#REF!</v>
      </c>
      <c r="C196" s="46" t="e">
        <f>COUNTIFS(#REF!,'Par Territoire'!$F$9,#REF!,'Par Territoire'!$B97)/COUNTIFS(#REF!,'Par Territoire'!$F$9)</f>
        <v>#REF!</v>
      </c>
      <c r="D196" s="29" t="e">
        <f>COUNTIFS(#REF!,'Par Territoire'!$F$12,#REF!,'Par Territoire'!$B97)/COUNTIFS(#REF!,'Par Territoire'!$F$12)</f>
        <v>#REF!</v>
      </c>
      <c r="E196" s="47" t="e">
        <f>COUNTIFS(#REF!,'Par Territoire'!$B97)/$K$21</f>
        <v>#REF!</v>
      </c>
      <c r="F196" t="e">
        <f>COUNTIFS(#REF!,'Par Territoire'!$F$12,#REF!,'Par Territoire'!$F$9,#REF!,'Par Territoire'!$C98)</f>
        <v>#REF!</v>
      </c>
      <c r="G196" t="e">
        <f>COUNTIFS(#REF!,'Par Territoire'!$F$9,#REF!,'Par Territoire'!$C98)</f>
        <v>#REF!</v>
      </c>
      <c r="H196" t="e">
        <f>COUNTIFS(#REF!,'Par Territoire'!$F$12,#REF!,'Par Territoire'!$C98)</f>
        <v>#REF!</v>
      </c>
      <c r="I196" t="e">
        <f>COUNTIFS(#REF!,'Par Territoire'!$C98)</f>
        <v>#REF!</v>
      </c>
    </row>
    <row r="197" spans="2:9" ht="15" hidden="1" customHeight="1" x14ac:dyDescent="0.25">
      <c r="B197" s="29" t="e">
        <f>COUNTIFS(#REF!,'Par Territoire'!$F$12,#REF!,'Par Territoire'!$F$9,#REF!,'Par Territoire'!$C98)/COUNTIFS(#REF!,'Par Territoire'!$F$12,#REF!,'Par Territoire'!$F$9)</f>
        <v>#REF!</v>
      </c>
      <c r="C197" s="46" t="e">
        <f>COUNTIFS(#REF!,'Par Territoire'!$F$9,#REF!,'Par Territoire'!$C98)/COUNTIFS(#REF!,'Par Territoire'!$F$9)</f>
        <v>#REF!</v>
      </c>
      <c r="D197" s="29" t="e">
        <f>COUNTIFS(#REF!,'Par Territoire'!$F$12,#REF!,'Par Territoire'!$C98)/COUNTIFS(#REF!,'Par Territoire'!$F$12)</f>
        <v>#REF!</v>
      </c>
      <c r="E197" s="47" t="e">
        <f>COUNTIFS(#REF!,'Par Territoire'!$C98)/$K$21</f>
        <v>#REF!</v>
      </c>
      <c r="F197" t="e">
        <f>COUNTIFS(#REF!,'Par Territoire'!$F$12,#REF!,'Par Territoire'!$F$9,#REF!,'Par Territoire'!$C99)</f>
        <v>#REF!</v>
      </c>
      <c r="G197" t="e">
        <f>COUNTIFS(#REF!,'Par Territoire'!$F$9,#REF!,'Par Territoire'!$C99)</f>
        <v>#REF!</v>
      </c>
      <c r="H197" t="e">
        <f>COUNTIFS(#REF!,'Par Territoire'!$F$12,#REF!,'Par Territoire'!$C99)</f>
        <v>#REF!</v>
      </c>
      <c r="I197" t="e">
        <f>COUNTIFS(#REF!,'Par Territoire'!$C99)</f>
        <v>#REF!</v>
      </c>
    </row>
    <row r="198" spans="2:9" ht="15" hidden="1" customHeight="1" x14ac:dyDescent="0.25">
      <c r="B198" s="29" t="e">
        <f>COUNTIFS(#REF!,'Par Territoire'!$F$12,#REF!,'Par Territoire'!$F$9,#REF!,'Par Territoire'!$C99)/COUNTIFS(#REF!,'Par Territoire'!$F$12,#REF!,'Par Territoire'!$F$9)</f>
        <v>#REF!</v>
      </c>
      <c r="C198" s="46" t="e">
        <f>COUNTIFS(#REF!,'Par Territoire'!$F$9,#REF!,'Par Territoire'!$C99)/COUNTIFS(#REF!,'Par Territoire'!$F$9)</f>
        <v>#REF!</v>
      </c>
      <c r="D198" s="29" t="e">
        <f>COUNTIFS(#REF!,'Par Territoire'!$F$12,#REF!,'Par Territoire'!$C99)/COUNTIFS(#REF!,'Par Territoire'!$F$12)</f>
        <v>#REF!</v>
      </c>
      <c r="E198" s="47" t="e">
        <f>COUNTIFS(#REF!,'Par Territoire'!$C99)/$K$21</f>
        <v>#REF!</v>
      </c>
      <c r="F198" t="e">
        <f>COUNTIFS(#REF!,'Par Territoire'!$F$12,#REF!,'Par Territoire'!$F$9,#REF!,'Par Territoire'!$C100)</f>
        <v>#REF!</v>
      </c>
      <c r="G198" t="e">
        <f>COUNTIFS(#REF!,'Par Territoire'!$F$9,#REF!,'Par Territoire'!$C100)</f>
        <v>#REF!</v>
      </c>
      <c r="H198" t="e">
        <f>COUNTIFS(#REF!,'Par Territoire'!$F$12,#REF!,'Par Territoire'!$C100)</f>
        <v>#REF!</v>
      </c>
      <c r="I198" t="e">
        <f>COUNTIFS(#REF!,'Par Territoire'!$C100)</f>
        <v>#REF!</v>
      </c>
    </row>
    <row r="199" spans="2:9" ht="15" hidden="1" customHeight="1" x14ac:dyDescent="0.25">
      <c r="B199" s="29" t="e">
        <f>COUNTIFS(#REF!,'Par Territoire'!$F$12,#REF!,'Par Territoire'!$F$9,#REF!,'Par Territoire'!$C112)/COUNTIFS(#REF!,'Par Territoire'!$F$12,#REF!,'Par Territoire'!$F$9)</f>
        <v>#REF!</v>
      </c>
      <c r="C199" s="46" t="e">
        <f>COUNTIFS(#REF!,'Par Territoire'!$F$9,#REF!,'Par Territoire'!$C112)/COUNTIFS(#REF!,'Par Territoire'!$F$9)</f>
        <v>#REF!</v>
      </c>
      <c r="D199" s="29" t="e">
        <f>COUNTIFS(#REF!,'Par Territoire'!$F$12,#REF!,'Par Territoire'!$C112)/COUNTIFS(#REF!,'Par Territoire'!$F$12)</f>
        <v>#REF!</v>
      </c>
      <c r="E199" s="47" t="e">
        <f>COUNTIFS(#REF!,'Par Territoire'!$C112)/$K$21</f>
        <v>#REF!</v>
      </c>
      <c r="F199" t="e">
        <f>COUNTIFS(#REF!,'Par Territoire'!$F$12,#REF!,'Par Territoire'!$F$9,#REF!,'Par Territoire'!$C101)</f>
        <v>#REF!</v>
      </c>
      <c r="G199" t="e">
        <f>COUNTIFS(#REF!,'Par Territoire'!$F$9,#REF!,'Par Territoire'!$C101)</f>
        <v>#REF!</v>
      </c>
      <c r="H199" t="e">
        <f>COUNTIFS(#REF!,'Par Territoire'!$F$12,#REF!,'Par Territoire'!$C101)</f>
        <v>#REF!</v>
      </c>
      <c r="I199" t="e">
        <f>COUNTIFS(#REF!,'Par Territoire'!$C101)</f>
        <v>#REF!</v>
      </c>
    </row>
    <row r="200" spans="2:9" ht="15" hidden="1" customHeight="1" x14ac:dyDescent="0.25">
      <c r="B200" s="29" t="e">
        <f>COUNTIFS(#REF!,'Par Territoire'!$F$12,#REF!,'Par Territoire'!$F$9,#REF!,'Par Territoire'!$C115)/COUNTIFS(#REF!,'Par Territoire'!$F$12,#REF!,'Par Territoire'!$F$9)</f>
        <v>#REF!</v>
      </c>
      <c r="C200" s="46" t="e">
        <f>COUNTIFS(#REF!,'Par Territoire'!$F$9,#REF!,'Par Territoire'!$C115)/COUNTIFS(#REF!,'Par Territoire'!$F$9)</f>
        <v>#REF!</v>
      </c>
      <c r="D200" s="29" t="e">
        <f>COUNTIFS(#REF!,'Par Territoire'!$F$12,#REF!,'Par Territoire'!$C115)/COUNTIFS(#REF!,'Par Territoire'!$F$12)</f>
        <v>#REF!</v>
      </c>
      <c r="E200" s="47" t="e">
        <f>COUNTIFS(#REF!,'Par Territoire'!$C115)/$K$21</f>
        <v>#REF!</v>
      </c>
    </row>
    <row r="201" spans="2:9" ht="15" hidden="1" customHeight="1" x14ac:dyDescent="0.25"/>
    <row r="202" spans="2:9" ht="15" hidden="1" customHeight="1" x14ac:dyDescent="0.25"/>
    <row r="203" spans="2:9" ht="15" hidden="1" customHeight="1" x14ac:dyDescent="0.25"/>
    <row r="204" spans="2:9" ht="15" hidden="1" customHeight="1" x14ac:dyDescent="0.25"/>
    <row r="205" spans="2:9" ht="15" hidden="1" customHeight="1" x14ac:dyDescent="0.25">
      <c r="B205" s="32"/>
      <c r="C205" s="32"/>
      <c r="D205" s="32"/>
      <c r="E205" s="32"/>
    </row>
    <row r="206" spans="2:9" ht="15" customHeight="1" x14ac:dyDescent="0.25"/>
  </sheetData>
  <sheetProtection password="F719" sheet="1" objects="1" scenarios="1" selectLockedCells="1"/>
  <mergeCells count="14">
    <mergeCell ref="L100:L101"/>
    <mergeCell ref="M100:M101"/>
    <mergeCell ref="C2:L5"/>
    <mergeCell ref="A9:E9"/>
    <mergeCell ref="F9:J9"/>
    <mergeCell ref="F12:I12"/>
    <mergeCell ref="H63:I63"/>
    <mergeCell ref="J63:K63"/>
    <mergeCell ref="A40:E41"/>
    <mergeCell ref="A178:E178"/>
    <mergeCell ref="H77:I77"/>
    <mergeCell ref="J77:K77"/>
    <mergeCell ref="J100:J101"/>
    <mergeCell ref="K100:K101"/>
  </mergeCells>
  <dataValidations count="2">
    <dataValidation type="list" allowBlank="1" showInputMessage="1" showErrorMessage="1" sqref="F12:I12">
      <formula1>"'- de 40,40 à 50,50 à 60,60 à 75,75 et plus,Tous les ages"</formula1>
    </dataValidation>
    <dataValidation type="list" allowBlank="1" showInputMessage="1" showErrorMessage="1" sqref="F9:J9">
      <formula1>$P$21:$P$26</formula1>
    </dataValidation>
  </dataValidations>
  <pageMargins left="0.7" right="0.7" top="0.75" bottom="0.75" header="0.3" footer="0.3"/>
  <pageSetup paperSize="9" scale="7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7"/>
  <sheetViews>
    <sheetView showGridLines="0" zoomScale="115" zoomScaleNormal="115" workbookViewId="0">
      <selection activeCell="A44" sqref="A44:E45"/>
    </sheetView>
  </sheetViews>
  <sheetFormatPr baseColWidth="10" defaultColWidth="0" defaultRowHeight="15" zeroHeight="1" x14ac:dyDescent="0.25"/>
  <cols>
    <col min="1" max="1" width="19.7109375" customWidth="1"/>
    <col min="2" max="2" width="19.28515625" customWidth="1"/>
    <col min="3" max="3" width="11.42578125" customWidth="1"/>
    <col min="4" max="15" width="11.7109375" customWidth="1"/>
    <col min="16" max="16" width="11.7109375" hidden="1" customWidth="1"/>
    <col min="17" max="32" width="0" hidden="1" customWidth="1"/>
    <col min="33" max="16384" width="11.42578125" hidden="1"/>
  </cols>
  <sheetData>
    <row r="1" spans="1:15" x14ac:dyDescent="0.25"/>
    <row r="2" spans="1:15" ht="15" customHeight="1" x14ac:dyDescent="0.25">
      <c r="C2" s="127" t="s">
        <v>26</v>
      </c>
      <c r="D2" s="128"/>
      <c r="E2" s="128"/>
      <c r="F2" s="128"/>
      <c r="G2" s="128"/>
      <c r="H2" s="128"/>
      <c r="I2" s="128"/>
      <c r="J2" s="128"/>
      <c r="K2" s="128"/>
      <c r="L2" s="129"/>
    </row>
    <row r="3" spans="1:15" ht="15" customHeight="1" x14ac:dyDescent="0.25">
      <c r="C3" s="130"/>
      <c r="D3" s="131"/>
      <c r="E3" s="131"/>
      <c r="F3" s="131"/>
      <c r="G3" s="131"/>
      <c r="H3" s="131"/>
      <c r="I3" s="131"/>
      <c r="J3" s="131"/>
      <c r="K3" s="131"/>
      <c r="L3" s="132"/>
    </row>
    <row r="4" spans="1:15" ht="15" customHeight="1" x14ac:dyDescent="0.25">
      <c r="C4" s="130"/>
      <c r="D4" s="131"/>
      <c r="E4" s="131"/>
      <c r="F4" s="131"/>
      <c r="G4" s="131"/>
      <c r="H4" s="131"/>
      <c r="I4" s="131"/>
      <c r="J4" s="131"/>
      <c r="K4" s="131"/>
      <c r="L4" s="132"/>
    </row>
    <row r="5" spans="1:15" ht="15" customHeight="1" x14ac:dyDescent="0.25">
      <c r="C5" s="133"/>
      <c r="D5" s="134"/>
      <c r="E5" s="134"/>
      <c r="F5" s="134"/>
      <c r="G5" s="134"/>
      <c r="H5" s="134"/>
      <c r="I5" s="134"/>
      <c r="J5" s="134"/>
      <c r="K5" s="134"/>
      <c r="L5" s="135"/>
    </row>
    <row r="6" spans="1:15" x14ac:dyDescent="0.25"/>
    <row r="7" spans="1:15" x14ac:dyDescent="0.25"/>
    <row r="8" spans="1:15" ht="25.5" customHeight="1" x14ac:dyDescent="0.25">
      <c r="A8" s="143" t="s">
        <v>114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ht="6" customHeight="1" x14ac:dyDescent="0.25">
      <c r="K9" s="1"/>
    </row>
    <row r="10" spans="1:15" ht="18" customHeight="1" x14ac:dyDescent="0.25">
      <c r="D10" s="20" t="s">
        <v>55</v>
      </c>
      <c r="E10" s="3" t="s">
        <v>147</v>
      </c>
      <c r="F10" s="3" t="s">
        <v>146</v>
      </c>
      <c r="G10" s="3" t="s">
        <v>149</v>
      </c>
      <c r="H10" s="3" t="s">
        <v>121</v>
      </c>
      <c r="I10" s="3"/>
      <c r="J10" s="3"/>
      <c r="K10" s="3"/>
      <c r="L10" s="3" t="s">
        <v>30</v>
      </c>
      <c r="M10" s="3" t="s">
        <v>31</v>
      </c>
    </row>
    <row r="11" spans="1:15" ht="18" customHeight="1" x14ac:dyDescent="0.25">
      <c r="A11" s="4" t="s">
        <v>29</v>
      </c>
      <c r="C11" s="4" t="s">
        <v>105</v>
      </c>
      <c r="D11" s="7">
        <v>9.4043887147335428E-3</v>
      </c>
      <c r="E11" s="7">
        <v>6.5830721003134793E-2</v>
      </c>
      <c r="F11" s="7">
        <v>0.19435736677115986</v>
      </c>
      <c r="G11" s="7">
        <v>0.47335423197492166</v>
      </c>
      <c r="H11" s="7">
        <v>0.25705329153605017</v>
      </c>
      <c r="J11" s="4" t="s">
        <v>28</v>
      </c>
      <c r="K11" s="4" t="s">
        <v>105</v>
      </c>
      <c r="L11" s="7">
        <v>0.75862068965517238</v>
      </c>
      <c r="M11" s="7">
        <v>0.24137931034482762</v>
      </c>
      <c r="N11" s="28" t="e">
        <v>#DIV/0!</v>
      </c>
      <c r="O11" s="29">
        <v>0.76721311475409837</v>
      </c>
    </row>
    <row r="12" spans="1:15" ht="18" customHeight="1" x14ac:dyDescent="0.25">
      <c r="B12" s="4"/>
      <c r="C12" s="4" t="s">
        <v>106</v>
      </c>
      <c r="D12" s="7">
        <v>1.2572533849129593E-2</v>
      </c>
      <c r="E12" s="7">
        <v>6.5764023210831718E-2</v>
      </c>
      <c r="F12" s="7">
        <v>0.22243713733075435</v>
      </c>
      <c r="G12" s="7">
        <v>0.46131528046421666</v>
      </c>
      <c r="H12" s="7">
        <v>0.23791102514506771</v>
      </c>
      <c r="J12" s="4"/>
      <c r="K12" s="4" t="s">
        <v>106</v>
      </c>
      <c r="L12" s="7">
        <v>0.69729206963249513</v>
      </c>
      <c r="M12" s="7">
        <v>0.30270793036750487</v>
      </c>
      <c r="N12" s="28"/>
      <c r="O12" s="29"/>
    </row>
    <row r="13" spans="1:15" ht="18" customHeight="1" x14ac:dyDescent="0.25">
      <c r="B13" s="4"/>
      <c r="C13" s="4" t="s">
        <v>107</v>
      </c>
      <c r="D13" s="7">
        <v>1.3071895424836602E-2</v>
      </c>
      <c r="E13" s="7">
        <v>6.8627450980392163E-2</v>
      </c>
      <c r="F13" s="7">
        <v>0.21895424836601307</v>
      </c>
      <c r="G13" s="7">
        <v>0.44444444444444442</v>
      </c>
      <c r="H13" s="7">
        <v>0.25490196078431371</v>
      </c>
      <c r="J13" s="4"/>
      <c r="K13" s="4" t="s">
        <v>107</v>
      </c>
      <c r="L13" s="7">
        <v>0.66993464052287577</v>
      </c>
      <c r="M13" s="7">
        <v>0.33006535947712423</v>
      </c>
      <c r="N13" s="28"/>
      <c r="O13" s="29"/>
    </row>
    <row r="14" spans="1:15" ht="18" customHeight="1" x14ac:dyDescent="0.25">
      <c r="B14" s="4"/>
      <c r="C14" s="4" t="s">
        <v>108</v>
      </c>
      <c r="D14" s="7">
        <v>0</v>
      </c>
      <c r="E14" s="7">
        <v>6.1728395061728392E-2</v>
      </c>
      <c r="F14" s="7">
        <v>0.2139917695473251</v>
      </c>
      <c r="G14" s="7">
        <v>0.3991769547325103</v>
      </c>
      <c r="H14" s="7">
        <v>0.32510288065843623</v>
      </c>
      <c r="J14" s="4"/>
      <c r="K14" s="4" t="s">
        <v>108</v>
      </c>
      <c r="L14" s="7">
        <v>0.70781893004115226</v>
      </c>
      <c r="M14" s="7">
        <v>0.29218106995884774</v>
      </c>
      <c r="N14" s="28"/>
      <c r="O14" s="29"/>
    </row>
    <row r="15" spans="1:15" ht="18" customHeight="1" x14ac:dyDescent="0.25">
      <c r="B15" s="4"/>
      <c r="C15" s="4" t="s">
        <v>109</v>
      </c>
      <c r="D15" s="7">
        <v>8.2644628099173556E-3</v>
      </c>
      <c r="E15" s="7">
        <v>4.1322314049586778E-2</v>
      </c>
      <c r="F15" s="7">
        <v>0.21487603305785125</v>
      </c>
      <c r="G15" s="7">
        <v>0.40909090909090912</v>
      </c>
      <c r="H15" s="7">
        <v>0.32644628099173556</v>
      </c>
      <c r="J15" s="4"/>
      <c r="K15" s="4" t="s">
        <v>109</v>
      </c>
      <c r="L15" s="7">
        <v>0.69008264462809921</v>
      </c>
      <c r="M15" s="7">
        <v>0.30991735537190079</v>
      </c>
      <c r="N15" s="28"/>
      <c r="O15" s="29"/>
    </row>
    <row r="16" spans="1:15" ht="18" customHeight="1" x14ac:dyDescent="0.25">
      <c r="B16" s="4"/>
      <c r="C16" s="4" t="s">
        <v>110</v>
      </c>
      <c r="D16" s="7">
        <v>2.1897810218978103E-2</v>
      </c>
      <c r="E16" s="7">
        <v>5.1094890510948905E-2</v>
      </c>
      <c r="F16" s="7">
        <v>0.20437956204379562</v>
      </c>
      <c r="G16" s="7">
        <v>0.43065693430656932</v>
      </c>
      <c r="H16" s="7">
        <v>0.29197080291970801</v>
      </c>
      <c r="J16" s="4"/>
      <c r="K16" s="4" t="s">
        <v>110</v>
      </c>
      <c r="L16" s="7">
        <v>0.71897810218978098</v>
      </c>
      <c r="M16" s="7">
        <v>0.28102189781021902</v>
      </c>
      <c r="N16" s="28"/>
      <c r="O16" s="29"/>
    </row>
    <row r="17" spans="1:15" ht="18" customHeight="1" x14ac:dyDescent="0.25">
      <c r="B17" s="4"/>
      <c r="C17" s="16" t="s">
        <v>5</v>
      </c>
      <c r="D17" s="78">
        <v>1.1579818031430935E-2</v>
      </c>
      <c r="E17" s="78">
        <v>6.1621174524400329E-2</v>
      </c>
      <c r="F17" s="78">
        <v>0.21464019851116625</v>
      </c>
      <c r="G17" s="78">
        <v>0.44582299421009097</v>
      </c>
      <c r="H17" s="78">
        <v>0.26633581472291151</v>
      </c>
      <c r="J17" s="4"/>
      <c r="K17" s="16" t="s">
        <v>5</v>
      </c>
      <c r="L17" s="78">
        <v>0.70471464019851116</v>
      </c>
      <c r="M17" s="78">
        <v>0.29528535980148884</v>
      </c>
      <c r="N17" s="29" t="e">
        <v>#DIV/0!</v>
      </c>
      <c r="O17" s="29">
        <v>0.7069767441860465</v>
      </c>
    </row>
    <row r="18" spans="1:15" ht="7.5" customHeight="1" x14ac:dyDescent="0.25">
      <c r="B18" s="4"/>
      <c r="C18" s="4"/>
      <c r="G18" s="1"/>
      <c r="K18" s="1"/>
    </row>
    <row r="19" spans="1:15" ht="7.5" customHeight="1" x14ac:dyDescent="0.25">
      <c r="B19" s="4"/>
      <c r="C19" s="4"/>
      <c r="G19" s="1"/>
      <c r="K19" s="1"/>
    </row>
    <row r="20" spans="1:15" x14ac:dyDescent="0.25">
      <c r="A20" s="13" t="s">
        <v>38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5" ht="6" customHeight="1" x14ac:dyDescent="0.25"/>
    <row r="22" spans="1:15" ht="6" customHeight="1" x14ac:dyDescent="0.25"/>
    <row r="23" spans="1:15" ht="58.5" customHeight="1" x14ac:dyDescent="0.25">
      <c r="H23" s="50" t="s">
        <v>105</v>
      </c>
      <c r="I23" s="50" t="s">
        <v>106</v>
      </c>
      <c r="J23" s="50" t="s">
        <v>107</v>
      </c>
      <c r="K23" s="19" t="s">
        <v>108</v>
      </c>
      <c r="L23" s="19" t="s">
        <v>111</v>
      </c>
      <c r="M23" s="19" t="s">
        <v>110</v>
      </c>
      <c r="N23" s="79" t="s">
        <v>1</v>
      </c>
    </row>
    <row r="24" spans="1:15" ht="6" customHeight="1" x14ac:dyDescent="0.25">
      <c r="N24" s="80"/>
    </row>
    <row r="25" spans="1:15" x14ac:dyDescent="0.25">
      <c r="G25" s="4" t="s">
        <v>27</v>
      </c>
      <c r="H25" s="8">
        <v>319</v>
      </c>
      <c r="I25" s="8">
        <v>1034</v>
      </c>
      <c r="J25" s="8">
        <v>306</v>
      </c>
      <c r="K25" s="8">
        <v>243</v>
      </c>
      <c r="L25" s="8">
        <v>242</v>
      </c>
      <c r="M25" s="8">
        <v>274</v>
      </c>
      <c r="N25" s="81">
        <v>2418</v>
      </c>
    </row>
    <row r="26" spans="1:15" ht="6" customHeight="1" x14ac:dyDescent="0.25">
      <c r="K26" s="1"/>
      <c r="N26" s="80"/>
    </row>
    <row r="27" spans="1:15" x14ac:dyDescent="0.25">
      <c r="G27" s="4" t="s">
        <v>2</v>
      </c>
      <c r="H27" s="24">
        <v>66.614420062695928</v>
      </c>
      <c r="I27" s="24">
        <v>65.500967117988395</v>
      </c>
      <c r="J27" s="24">
        <v>65.846405228758172</v>
      </c>
      <c r="K27" s="24">
        <v>67.559670781893004</v>
      </c>
      <c r="L27" s="24">
        <v>67.752066115702476</v>
      </c>
      <c r="M27" s="24">
        <v>66.496350364963504</v>
      </c>
      <c r="N27" s="82">
        <v>66.236559139784944</v>
      </c>
    </row>
    <row r="28" spans="1:15" ht="18" customHeight="1" x14ac:dyDescent="0.25">
      <c r="B28" s="4"/>
      <c r="K28" s="1"/>
      <c r="N28" s="80"/>
    </row>
    <row r="29" spans="1:15" x14ac:dyDescent="0.25">
      <c r="G29" s="4" t="s">
        <v>3</v>
      </c>
      <c r="H29" s="8">
        <v>46</v>
      </c>
      <c r="I29" s="8">
        <v>134</v>
      </c>
      <c r="J29" s="8">
        <v>34</v>
      </c>
      <c r="K29" s="8">
        <v>32</v>
      </c>
      <c r="L29" s="8">
        <v>30</v>
      </c>
      <c r="M29" s="8">
        <v>32</v>
      </c>
      <c r="N29" s="81">
        <v>308</v>
      </c>
    </row>
    <row r="30" spans="1:15" ht="13.5" customHeight="1" x14ac:dyDescent="0.25">
      <c r="N30" s="80"/>
    </row>
    <row r="31" spans="1:15" ht="6" customHeight="1" x14ac:dyDescent="0.25">
      <c r="N31" s="80"/>
    </row>
    <row r="32" spans="1:15" x14ac:dyDescent="0.25">
      <c r="G32" s="4" t="s">
        <v>32</v>
      </c>
      <c r="H32" s="8">
        <v>9.2946708463949843</v>
      </c>
      <c r="I32" s="8">
        <v>11.129593810444874</v>
      </c>
      <c r="J32" s="8">
        <v>13.326797385620916</v>
      </c>
      <c r="K32" s="8">
        <v>9.8847736625514404</v>
      </c>
      <c r="L32" s="8">
        <v>7.9834710743801649</v>
      </c>
      <c r="M32" s="8">
        <v>8.9671532846715323</v>
      </c>
      <c r="N32" s="81">
        <v>10.480562448304385</v>
      </c>
    </row>
    <row r="33" spans="1:19" ht="6.75" customHeight="1" x14ac:dyDescent="0.25">
      <c r="N33" s="80"/>
    </row>
    <row r="34" spans="1:19" ht="6" customHeight="1" x14ac:dyDescent="0.25">
      <c r="N34" s="80"/>
    </row>
    <row r="35" spans="1:19" x14ac:dyDescent="0.25">
      <c r="G35" s="4" t="s">
        <v>70</v>
      </c>
      <c r="H35" s="8">
        <v>3.8934169278996866</v>
      </c>
      <c r="I35" s="8">
        <v>4.0280464216634426</v>
      </c>
      <c r="J35" s="8">
        <v>3.3398692810457518</v>
      </c>
      <c r="K35" s="8">
        <v>4.4691358024691361</v>
      </c>
      <c r="L35" s="8">
        <v>3.7603305785123968</v>
      </c>
      <c r="M35" s="8">
        <v>4.1824817518248176</v>
      </c>
      <c r="N35" s="81">
        <v>3.9582299421009099</v>
      </c>
    </row>
    <row r="36" spans="1:19" ht="6.75" customHeight="1" x14ac:dyDescent="0.25">
      <c r="N36" s="80"/>
    </row>
    <row r="37" spans="1:19" ht="6.75" customHeight="1" x14ac:dyDescent="0.25">
      <c r="N37" s="80"/>
    </row>
    <row r="38" spans="1:19" x14ac:dyDescent="0.25">
      <c r="G38" s="4" t="s">
        <v>52</v>
      </c>
      <c r="H38" s="8">
        <v>29.369905956112852</v>
      </c>
      <c r="I38" s="8">
        <v>41.47001934235977</v>
      </c>
      <c r="J38" s="8">
        <v>27.029411764705884</v>
      </c>
      <c r="K38" s="8">
        <v>30.283950617283949</v>
      </c>
      <c r="L38" s="8">
        <v>19.768595041322314</v>
      </c>
      <c r="M38" s="8">
        <v>22.37956204379562</v>
      </c>
      <c r="N38" s="81">
        <v>32.586848635235732</v>
      </c>
    </row>
    <row r="39" spans="1:19" x14ac:dyDescent="0.25">
      <c r="G39" s="4"/>
      <c r="H39" s="11"/>
      <c r="I39" s="2">
        <v>30.22622950819672</v>
      </c>
      <c r="J39" s="5"/>
      <c r="K39" s="11"/>
      <c r="L39" s="2">
        <v>32.985200845665965</v>
      </c>
    </row>
    <row r="40" spans="1:19" x14ac:dyDescent="0.25">
      <c r="G40" s="4"/>
      <c r="H40" s="11"/>
      <c r="I40" s="2"/>
      <c r="J40" s="5"/>
      <c r="K40" s="33"/>
      <c r="L40" s="34"/>
      <c r="M40" s="34"/>
      <c r="N40" s="34"/>
    </row>
    <row r="41" spans="1:19" s="63" customFormat="1" ht="49.5" customHeight="1" x14ac:dyDescent="0.25">
      <c r="C41" s="63" t="s">
        <v>77</v>
      </c>
      <c r="G41" s="9"/>
      <c r="H41" s="50" t="s">
        <v>105</v>
      </c>
      <c r="I41" s="50" t="s">
        <v>106</v>
      </c>
      <c r="J41" s="50" t="s">
        <v>107</v>
      </c>
      <c r="K41" s="19" t="s">
        <v>108</v>
      </c>
      <c r="L41" s="19" t="s">
        <v>111</v>
      </c>
      <c r="M41" s="19" t="s">
        <v>110</v>
      </c>
      <c r="N41" s="79" t="s">
        <v>1</v>
      </c>
    </row>
    <row r="42" spans="1:19" x14ac:dyDescent="0.25">
      <c r="G42" s="12"/>
      <c r="H42" s="75"/>
      <c r="I42" s="75"/>
      <c r="J42" s="5"/>
      <c r="K42" s="33"/>
      <c r="L42" s="34"/>
      <c r="M42" s="34"/>
      <c r="N42" s="34"/>
    </row>
    <row r="43" spans="1:19" x14ac:dyDescent="0.25">
      <c r="G43" s="15" t="s">
        <v>72</v>
      </c>
      <c r="H43" s="7">
        <v>0.57283807312826462</v>
      </c>
      <c r="I43" s="7">
        <v>0.43091525423728816</v>
      </c>
      <c r="J43" s="7">
        <v>0.56541598694942907</v>
      </c>
      <c r="K43" s="7">
        <v>0.73544973544973546</v>
      </c>
      <c r="L43" s="7">
        <v>0.94814090019569475</v>
      </c>
      <c r="M43" s="7">
        <v>0.92874109263657956</v>
      </c>
      <c r="N43" s="78">
        <v>0.57145574435708846</v>
      </c>
      <c r="O43" s="35" t="e">
        <v>#DIV/0!</v>
      </c>
      <c r="P43" s="36">
        <v>0.57134536983110074</v>
      </c>
      <c r="Q43" s="2" t="e">
        <v>#DIV/0!</v>
      </c>
      <c r="R43" s="2">
        <v>0.57089410272669627</v>
      </c>
      <c r="S43" s="34"/>
    </row>
    <row r="44" spans="1:19" x14ac:dyDescent="0.25">
      <c r="A44" s="142" t="s">
        <v>191</v>
      </c>
      <c r="B44" s="142"/>
      <c r="C44" s="142"/>
      <c r="D44" s="142"/>
      <c r="E44" s="142"/>
      <c r="G44" s="15" t="s">
        <v>75</v>
      </c>
      <c r="H44" s="7">
        <v>0.39930354033662219</v>
      </c>
      <c r="I44" s="7">
        <v>0.54603389830508475</v>
      </c>
      <c r="J44" s="7">
        <v>0.39119086460032626</v>
      </c>
      <c r="K44" s="7">
        <v>0.25245653817082386</v>
      </c>
      <c r="L44" s="7">
        <v>1.4677103718199608E-2</v>
      </c>
      <c r="M44" s="7">
        <v>4.5922406967537611E-2</v>
      </c>
      <c r="N44" s="78">
        <v>0.40077352269845296</v>
      </c>
      <c r="O44" s="35" t="e">
        <v>#DIV/0!</v>
      </c>
      <c r="P44" s="36">
        <v>0.40069889341875364</v>
      </c>
      <c r="Q44" s="2" t="e">
        <v>#DIV/0!</v>
      </c>
      <c r="R44" s="2">
        <v>0.40196575776791377</v>
      </c>
      <c r="S44" s="34"/>
    </row>
    <row r="45" spans="1:19" x14ac:dyDescent="0.25">
      <c r="A45" s="142"/>
      <c r="B45" s="142"/>
      <c r="C45" s="142"/>
      <c r="D45" s="142"/>
      <c r="E45" s="142"/>
      <c r="G45" s="15" t="s">
        <v>76</v>
      </c>
      <c r="H45" s="7">
        <v>1.9733023795705164E-2</v>
      </c>
      <c r="I45" s="7">
        <v>1.8847457627118643E-2</v>
      </c>
      <c r="J45" s="7">
        <v>1.6965742251223492E-2</v>
      </c>
      <c r="K45" s="7">
        <v>1.1337868480725623E-2</v>
      </c>
      <c r="L45" s="7">
        <v>2.2504892367906065E-2</v>
      </c>
      <c r="M45" s="7">
        <v>1.8210609659540775E-2</v>
      </c>
      <c r="N45" s="78">
        <v>1.8133400963733198E-2</v>
      </c>
      <c r="O45" s="35" t="e">
        <v>#DIV/0!</v>
      </c>
      <c r="P45" s="36">
        <v>1.9801980198019802E-2</v>
      </c>
      <c r="Q45" s="2" t="e">
        <v>#DIV/0!</v>
      </c>
      <c r="R45" s="2">
        <v>1.8008877615726063E-2</v>
      </c>
      <c r="S45" s="34"/>
    </row>
    <row r="46" spans="1:19" x14ac:dyDescent="0.25">
      <c r="G46" s="15" t="s">
        <v>74</v>
      </c>
      <c r="H46" s="7">
        <v>1.1607661056297156E-3</v>
      </c>
      <c r="I46" s="7">
        <v>3.5254237288135592E-3</v>
      </c>
      <c r="J46" s="7">
        <v>2.1859706362153345E-2</v>
      </c>
      <c r="K46" s="7">
        <v>0</v>
      </c>
      <c r="L46" s="7">
        <v>1.4677103718199608E-2</v>
      </c>
      <c r="M46" s="7">
        <v>1.5835312747426761E-3</v>
      </c>
      <c r="N46" s="78">
        <v>7.101191985797616E-3</v>
      </c>
      <c r="O46" s="35" t="e">
        <v>#DIV/0!</v>
      </c>
      <c r="P46" s="36">
        <v>1.1648223645894002E-3</v>
      </c>
      <c r="Q46" s="2" t="e">
        <v>#DIV/0!</v>
      </c>
      <c r="R46" s="2">
        <v>7.1020925808497146E-3</v>
      </c>
      <c r="S46" s="34"/>
    </row>
    <row r="47" spans="1:19" x14ac:dyDescent="0.25">
      <c r="G47" s="15" t="s">
        <v>73</v>
      </c>
      <c r="H47" s="7">
        <v>6.9645966337782937E-3</v>
      </c>
      <c r="I47" s="7">
        <v>6.779661016949153E-4</v>
      </c>
      <c r="J47" s="7">
        <v>4.2414355628058731E-3</v>
      </c>
      <c r="K47" s="7">
        <v>7.5585789871504159E-4</v>
      </c>
      <c r="L47" s="7">
        <v>0</v>
      </c>
      <c r="M47" s="7">
        <v>5.5423594615993665E-3</v>
      </c>
      <c r="N47" s="78">
        <v>2.4093329951813342E-3</v>
      </c>
      <c r="O47" s="35" t="e">
        <v>#DIV/0!</v>
      </c>
      <c r="P47" s="36">
        <v>6.9889341875364009E-3</v>
      </c>
      <c r="Q47" s="2" t="e">
        <v>#DIV/0!</v>
      </c>
      <c r="R47" s="2">
        <v>1.9023462270133164E-3</v>
      </c>
      <c r="S47" s="34"/>
    </row>
    <row r="48" spans="1:19" x14ac:dyDescent="0.25">
      <c r="G48" s="15" t="s">
        <v>71</v>
      </c>
      <c r="H48" s="7">
        <v>0</v>
      </c>
      <c r="I48" s="7">
        <v>0</v>
      </c>
      <c r="J48" s="7">
        <v>3.2626427406199022E-4</v>
      </c>
      <c r="K48" s="7">
        <v>0</v>
      </c>
      <c r="L48" s="7">
        <v>0</v>
      </c>
      <c r="M48" s="7">
        <v>0</v>
      </c>
      <c r="N48" s="78">
        <v>6.3403499873192998E-5</v>
      </c>
      <c r="O48" s="35" t="e">
        <v>#DIV/0!</v>
      </c>
      <c r="P48" s="36">
        <v>0</v>
      </c>
      <c r="Q48" s="2" t="e">
        <v>#DIV/0!</v>
      </c>
      <c r="R48" s="2">
        <v>6.3411540900443881E-5</v>
      </c>
      <c r="S48" s="34"/>
    </row>
    <row r="49" spans="7:15" x14ac:dyDescent="0.25">
      <c r="G49" s="4"/>
      <c r="H49" s="11"/>
      <c r="I49" s="2"/>
      <c r="J49" s="5"/>
      <c r="K49" s="33"/>
      <c r="L49" s="34"/>
      <c r="M49" s="34"/>
      <c r="N49" s="34"/>
    </row>
    <row r="50" spans="7:15" ht="6" customHeight="1" x14ac:dyDescent="0.25">
      <c r="I50" s="2"/>
      <c r="L50" s="2"/>
    </row>
    <row r="51" spans="7:15" ht="6" customHeight="1" x14ac:dyDescent="0.25">
      <c r="I51" s="2"/>
      <c r="L51" s="2"/>
    </row>
    <row r="52" spans="7:15" x14ac:dyDescent="0.25">
      <c r="G52" s="4" t="s">
        <v>33</v>
      </c>
      <c r="H52" s="25">
        <v>0.21943573667711599</v>
      </c>
      <c r="I52" s="25">
        <v>0.29690522243713735</v>
      </c>
      <c r="J52" s="25">
        <v>0.38235294117647056</v>
      </c>
      <c r="K52" s="25">
        <v>0.32098765432098764</v>
      </c>
      <c r="L52" s="25">
        <v>0.48347107438016529</v>
      </c>
      <c r="M52" s="25">
        <v>0.43795620437956206</v>
      </c>
      <c r="N52" s="83">
        <v>0.33457402812241521</v>
      </c>
      <c r="O52" s="2" t="e">
        <v>#DIV/0!</v>
      </c>
    </row>
    <row r="53" spans="7:15" ht="6" customHeight="1" x14ac:dyDescent="0.25">
      <c r="H53" s="23"/>
      <c r="I53" s="23"/>
      <c r="J53" s="23"/>
      <c r="K53" s="23"/>
      <c r="L53" s="23"/>
      <c r="M53" s="23"/>
      <c r="N53" s="84"/>
      <c r="O53" s="2">
        <v>0.33361522198731502</v>
      </c>
    </row>
    <row r="54" spans="7:15" x14ac:dyDescent="0.25">
      <c r="G54" s="4" t="s">
        <v>34</v>
      </c>
      <c r="H54" s="25">
        <v>5.6583072100313476</v>
      </c>
      <c r="I54" s="25">
        <v>6.0048355899419725</v>
      </c>
      <c r="J54" s="25">
        <v>10.735294117647058</v>
      </c>
      <c r="K54" s="25">
        <v>5.3868312757201648</v>
      </c>
      <c r="L54" s="25">
        <v>17.958677685950413</v>
      </c>
      <c r="M54" s="25">
        <v>9.514598540145986</v>
      </c>
      <c r="N54" s="83">
        <v>8.0897435897435894</v>
      </c>
      <c r="O54" s="2" t="e">
        <v>#DIV/0!</v>
      </c>
    </row>
    <row r="55" spans="7:15" ht="6" customHeight="1" x14ac:dyDescent="0.25">
      <c r="H55" s="23"/>
      <c r="I55" s="23"/>
      <c r="J55" s="23"/>
      <c r="K55" s="23"/>
      <c r="L55" s="23"/>
      <c r="M55" s="23"/>
      <c r="N55" s="84"/>
      <c r="O55" s="2">
        <v>8.0283298097251592</v>
      </c>
    </row>
    <row r="56" spans="7:15" ht="6" customHeight="1" x14ac:dyDescent="0.25">
      <c r="H56" s="23"/>
      <c r="I56" s="23"/>
      <c r="J56" s="23"/>
      <c r="K56" s="23"/>
      <c r="L56" s="23"/>
      <c r="M56" s="23"/>
      <c r="N56" s="84"/>
      <c r="O56" s="2"/>
    </row>
    <row r="57" spans="7:15" x14ac:dyDescent="0.25">
      <c r="G57" s="4" t="s">
        <v>35</v>
      </c>
      <c r="H57" s="25">
        <v>6.8965517241379309E-2</v>
      </c>
      <c r="I57" s="25">
        <v>4.8355899419729204E-2</v>
      </c>
      <c r="J57" s="25">
        <v>9.4771241830065356E-2</v>
      </c>
      <c r="K57" s="25">
        <v>6.584362139917696E-2</v>
      </c>
      <c r="L57" s="25">
        <v>4.1322314049586778E-2</v>
      </c>
      <c r="M57" s="25">
        <v>9.4890510948905105E-2</v>
      </c>
      <c r="N57" s="83">
        <v>6.3275434243176179E-2</v>
      </c>
      <c r="O57" s="2" t="e">
        <v>#DIV/0!</v>
      </c>
    </row>
    <row r="58" spans="7:15" ht="6" customHeight="1" x14ac:dyDescent="0.25">
      <c r="H58" s="23"/>
      <c r="I58" s="23"/>
      <c r="J58" s="23"/>
      <c r="K58" s="23"/>
      <c r="L58" s="23"/>
      <c r="M58" s="23"/>
      <c r="N58" s="84"/>
      <c r="O58" s="2">
        <v>6.3424947145877375E-2</v>
      </c>
    </row>
    <row r="59" spans="7:15" x14ac:dyDescent="0.25">
      <c r="G59" s="4" t="s">
        <v>36</v>
      </c>
      <c r="H59" s="25">
        <v>1.347962382445141</v>
      </c>
      <c r="I59" s="25">
        <v>1.2785299806576402</v>
      </c>
      <c r="J59" s="25">
        <v>4.0457516339869279</v>
      </c>
      <c r="K59" s="25">
        <v>1.5802469135802468</v>
      </c>
      <c r="L59" s="25">
        <v>0.72727272727272729</v>
      </c>
      <c r="M59" s="25">
        <v>1.7664233576642336</v>
      </c>
      <c r="N59" s="83">
        <v>1.6683209263854426</v>
      </c>
      <c r="O59" s="2" t="e">
        <v>#DIV/0!</v>
      </c>
    </row>
    <row r="60" spans="7:15" ht="6" customHeight="1" x14ac:dyDescent="0.25">
      <c r="H60" s="23"/>
      <c r="I60" s="23"/>
      <c r="J60" s="23"/>
      <c r="K60" s="23"/>
      <c r="L60" s="23"/>
      <c r="M60" s="23"/>
      <c r="N60" s="84"/>
      <c r="O60" s="2">
        <v>1.6042283298097251</v>
      </c>
    </row>
    <row r="61" spans="7:15" ht="6" customHeight="1" x14ac:dyDescent="0.25">
      <c r="H61" s="23"/>
      <c r="I61" s="23"/>
      <c r="J61" s="23"/>
      <c r="K61" s="23"/>
      <c r="L61" s="23"/>
      <c r="M61" s="23"/>
      <c r="N61" s="84"/>
      <c r="O61" s="2"/>
    </row>
    <row r="62" spans="7:15" x14ac:dyDescent="0.25">
      <c r="G62" s="4" t="s">
        <v>50</v>
      </c>
      <c r="H62" s="25">
        <v>0</v>
      </c>
      <c r="I62" s="25">
        <v>9.6711798839458415E-4</v>
      </c>
      <c r="J62" s="25">
        <v>3.2679738562091504E-3</v>
      </c>
      <c r="K62" s="25">
        <v>0</v>
      </c>
      <c r="L62" s="25">
        <v>2.8925619834710745E-2</v>
      </c>
      <c r="M62" s="25">
        <v>2.1897810218978103E-2</v>
      </c>
      <c r="N62" s="83">
        <v>6.2034739454094297E-3</v>
      </c>
      <c r="O62" s="2" t="e">
        <v>#DIV/0!</v>
      </c>
    </row>
    <row r="63" spans="7:15" ht="6" customHeight="1" x14ac:dyDescent="0.25">
      <c r="H63" s="23"/>
      <c r="I63" s="23"/>
      <c r="J63" s="23"/>
      <c r="K63" s="23"/>
      <c r="L63" s="23"/>
      <c r="M63" s="23"/>
      <c r="N63" s="84"/>
      <c r="O63" s="2">
        <v>5.07399577167019E-3</v>
      </c>
    </row>
    <row r="64" spans="7:15" x14ac:dyDescent="0.25">
      <c r="G64" s="4" t="s">
        <v>51</v>
      </c>
      <c r="H64" s="25">
        <v>0</v>
      </c>
      <c r="I64" s="25">
        <v>2.0309477756286266E-2</v>
      </c>
      <c r="J64" s="25">
        <v>0.10130718954248366</v>
      </c>
      <c r="K64" s="25">
        <v>0</v>
      </c>
      <c r="L64" s="25">
        <v>0.50413223140495866</v>
      </c>
      <c r="M64" s="25">
        <v>0.54744525547445255</v>
      </c>
      <c r="N64" s="83">
        <v>0.13399503722084366</v>
      </c>
      <c r="O64" s="2" t="e">
        <v>#DIV/0!</v>
      </c>
    </row>
    <row r="65" spans="2:27" x14ac:dyDescent="0.25">
      <c r="G65" s="4"/>
      <c r="H65" s="37"/>
      <c r="I65" s="2">
        <v>0</v>
      </c>
      <c r="J65" s="5"/>
      <c r="K65" s="37"/>
      <c r="L65" s="2">
        <v>0.12431289640591967</v>
      </c>
    </row>
    <row r="66" spans="2:27" x14ac:dyDescent="0.25">
      <c r="G66" s="4"/>
      <c r="H66" s="5"/>
      <c r="I66" s="37"/>
      <c r="J66" s="2"/>
    </row>
    <row r="67" spans="2:27" s="63" customFormat="1" ht="44.25" customHeight="1" x14ac:dyDescent="0.25">
      <c r="C67" s="85"/>
      <c r="D67" s="85"/>
      <c r="E67" s="85"/>
      <c r="F67" s="85"/>
      <c r="G67" s="86" t="s">
        <v>95</v>
      </c>
      <c r="H67" s="50" t="s">
        <v>105</v>
      </c>
      <c r="I67" s="50" t="s">
        <v>106</v>
      </c>
      <c r="J67" s="50" t="s">
        <v>107</v>
      </c>
      <c r="K67" s="19" t="s">
        <v>108</v>
      </c>
      <c r="L67" s="19" t="s">
        <v>111</v>
      </c>
      <c r="M67" s="19" t="s">
        <v>110</v>
      </c>
      <c r="N67" s="79" t="s">
        <v>1</v>
      </c>
    </row>
    <row r="68" spans="2:27" x14ac:dyDescent="0.25">
      <c r="G68" s="12"/>
      <c r="H68" s="2" t="s">
        <v>44</v>
      </c>
      <c r="J68" s="2"/>
    </row>
    <row r="69" spans="2:27" x14ac:dyDescent="0.25">
      <c r="G69" s="15" t="s">
        <v>83</v>
      </c>
      <c r="H69" s="27">
        <v>0.19082125603864733</v>
      </c>
      <c r="I69" s="27">
        <v>0.21800720288115247</v>
      </c>
      <c r="J69" s="27">
        <v>0.13013698630136986</v>
      </c>
      <c r="K69" s="27">
        <v>0.15101289134438306</v>
      </c>
      <c r="L69" s="27">
        <v>0.21758241758241759</v>
      </c>
      <c r="M69" s="27">
        <v>0.24520069808027922</v>
      </c>
      <c r="N69" s="87">
        <v>0.20071047957371227</v>
      </c>
      <c r="O69" s="32" t="e">
        <v>#DIV/0!</v>
      </c>
      <c r="P69" s="32">
        <v>0.20118845500848898</v>
      </c>
      <c r="Q69" s="32" t="e">
        <v>#DIV/0!</v>
      </c>
      <c r="R69" s="32">
        <v>0.20543384879725085</v>
      </c>
      <c r="S69" s="2"/>
      <c r="T69" s="2"/>
      <c r="U69" s="2"/>
      <c r="V69" s="2"/>
      <c r="W69" s="2"/>
      <c r="X69" s="2"/>
      <c r="Y69" s="2"/>
      <c r="Z69" s="2"/>
      <c r="AA69" s="2"/>
    </row>
    <row r="70" spans="2:27" x14ac:dyDescent="0.25">
      <c r="G70" s="15" t="s">
        <v>80</v>
      </c>
      <c r="H70" s="27">
        <v>0.2391304347826087</v>
      </c>
      <c r="I70" s="27">
        <v>0.18535414165666267</v>
      </c>
      <c r="J70" s="27">
        <v>0.17906066536203522</v>
      </c>
      <c r="K70" s="27">
        <v>0.18784530386740331</v>
      </c>
      <c r="L70" s="27">
        <v>0.20549450549450549</v>
      </c>
      <c r="M70" s="27">
        <v>0.17626527050610821</v>
      </c>
      <c r="N70" s="87">
        <v>0.19276982551457528</v>
      </c>
      <c r="O70" s="32" t="e">
        <v>#DIV/0!</v>
      </c>
      <c r="P70" s="32">
        <v>0.23429541595925296</v>
      </c>
      <c r="Q70" s="32" t="e">
        <v>#DIV/0!</v>
      </c>
      <c r="R70" s="32">
        <v>0.18664089347079038</v>
      </c>
      <c r="S70" s="2"/>
      <c r="T70" s="2"/>
      <c r="U70" s="2"/>
      <c r="V70" s="2"/>
      <c r="W70" s="2"/>
      <c r="X70" s="2"/>
      <c r="Y70" s="2"/>
      <c r="Z70" s="2"/>
      <c r="AA70" s="2"/>
    </row>
    <row r="71" spans="2:27" x14ac:dyDescent="0.25">
      <c r="G71" s="15" t="s">
        <v>84</v>
      </c>
      <c r="H71" s="27">
        <v>5.3945249597423507E-2</v>
      </c>
      <c r="I71" s="27">
        <v>6.2905162064825937E-2</v>
      </c>
      <c r="J71" s="27">
        <v>5.577299412915851E-2</v>
      </c>
      <c r="K71" s="27">
        <v>4.0515653775322284E-2</v>
      </c>
      <c r="L71" s="27">
        <v>0.1</v>
      </c>
      <c r="M71" s="27">
        <v>5.4101221640488653E-2</v>
      </c>
      <c r="N71" s="87">
        <v>6.0913175216800751E-2</v>
      </c>
      <c r="O71" s="32" t="e">
        <v>#DIV/0!</v>
      </c>
      <c r="P71" s="32">
        <v>5.7724957555178265E-2</v>
      </c>
      <c r="Q71" s="32" t="e">
        <v>#DIV/0!</v>
      </c>
      <c r="R71" s="32">
        <v>6.2714776632302405E-2</v>
      </c>
      <c r="S71" s="2"/>
      <c r="T71" s="2"/>
      <c r="U71" s="2"/>
      <c r="V71" s="2"/>
      <c r="W71" s="2"/>
      <c r="X71" s="2"/>
      <c r="Y71" s="2"/>
      <c r="Z71" s="2"/>
      <c r="AA71" s="2"/>
    </row>
    <row r="72" spans="2:27" x14ac:dyDescent="0.25">
      <c r="C72" s="64"/>
      <c r="D72" s="64"/>
      <c r="E72" s="64"/>
      <c r="F72" s="64"/>
      <c r="G72" s="15" t="s">
        <v>82</v>
      </c>
      <c r="H72" s="27">
        <v>4.6698872785829307E-2</v>
      </c>
      <c r="I72" s="27">
        <v>6.266506602641056E-2</v>
      </c>
      <c r="J72" s="27">
        <v>8.2191780821917804E-2</v>
      </c>
      <c r="K72" s="27">
        <v>4.2357274401473299E-2</v>
      </c>
      <c r="L72" s="27">
        <v>6.5934065934065936E-2</v>
      </c>
      <c r="M72" s="27">
        <v>4.9738219895287955E-2</v>
      </c>
      <c r="N72" s="87">
        <v>5.9136976282520112E-2</v>
      </c>
      <c r="O72" s="32" t="e">
        <v>#DIV/0!</v>
      </c>
      <c r="P72" s="32">
        <v>4.9235993208828523E-2</v>
      </c>
      <c r="Q72" s="32" t="e">
        <v>#DIV/0!</v>
      </c>
      <c r="R72" s="32">
        <v>6.0674398625429553E-2</v>
      </c>
      <c r="S72" s="2"/>
      <c r="T72" s="2"/>
      <c r="U72" s="2"/>
      <c r="V72" s="2"/>
      <c r="W72" s="2"/>
      <c r="X72" s="2"/>
      <c r="Y72" s="2"/>
      <c r="Z72" s="2"/>
      <c r="AA72" s="2"/>
    </row>
    <row r="73" spans="2:27" x14ac:dyDescent="0.25">
      <c r="B73" s="45"/>
      <c r="C73" s="45"/>
      <c r="D73" s="45"/>
      <c r="E73" s="45"/>
      <c r="F73" s="45"/>
      <c r="G73" s="15" t="s">
        <v>78</v>
      </c>
      <c r="H73" s="27">
        <v>4.4283413848631242E-2</v>
      </c>
      <c r="I73" s="27">
        <v>4.0816326530612242E-2</v>
      </c>
      <c r="J73" s="27">
        <v>0.10469667318982387</v>
      </c>
      <c r="K73" s="27">
        <v>4.6961325966850827E-2</v>
      </c>
      <c r="L73" s="27">
        <v>6.3736263736263732E-2</v>
      </c>
      <c r="M73" s="27">
        <v>4.712041884816754E-2</v>
      </c>
      <c r="N73" s="87">
        <v>5.1718733674642151E-2</v>
      </c>
      <c r="O73" s="32" t="e">
        <v>#DIV/0!</v>
      </c>
      <c r="P73" s="32">
        <v>4.2444821731748725E-2</v>
      </c>
      <c r="Q73" s="32" t="e">
        <v>#DIV/0!</v>
      </c>
      <c r="R73" s="32">
        <v>5.2190721649484538E-2</v>
      </c>
      <c r="S73" s="2"/>
      <c r="T73" s="2"/>
      <c r="U73" s="2"/>
      <c r="V73" s="2"/>
      <c r="W73" s="2"/>
      <c r="X73" s="2"/>
      <c r="Y73" s="2"/>
      <c r="Z73" s="2"/>
      <c r="AA73" s="2"/>
    </row>
    <row r="74" spans="2:27" x14ac:dyDescent="0.25">
      <c r="G74" s="15" t="s">
        <v>79</v>
      </c>
      <c r="H74" s="27">
        <v>3.864734299516908E-2</v>
      </c>
      <c r="I74" s="27">
        <v>4.53781512605042E-2</v>
      </c>
      <c r="J74" s="27">
        <v>2.7397260273972601E-2</v>
      </c>
      <c r="K74" s="27">
        <v>1.9337016574585635E-2</v>
      </c>
      <c r="L74" s="27">
        <v>3.7362637362637362E-2</v>
      </c>
      <c r="M74" s="27">
        <v>4.3630017452006981E-2</v>
      </c>
      <c r="N74" s="87">
        <v>3.8658447393166859E-2</v>
      </c>
      <c r="O74" s="32" t="e">
        <v>#DIV/0!</v>
      </c>
      <c r="P74" s="32">
        <v>3.3106960950764007E-2</v>
      </c>
      <c r="Q74" s="32" t="e">
        <v>#DIV/0!</v>
      </c>
      <c r="R74" s="32">
        <v>3.7263745704467353E-2</v>
      </c>
      <c r="S74" s="2"/>
      <c r="T74" s="2"/>
      <c r="U74" s="2"/>
      <c r="V74" s="2"/>
      <c r="W74" s="2"/>
      <c r="X74" s="2"/>
      <c r="Y74" s="2"/>
      <c r="Z74" s="2"/>
      <c r="AA74" s="2"/>
    </row>
    <row r="75" spans="2:27" x14ac:dyDescent="0.25">
      <c r="G75" s="15" t="s">
        <v>81</v>
      </c>
      <c r="H75" s="27">
        <v>2.0933977455716585E-2</v>
      </c>
      <c r="I75" s="27">
        <v>2.3529411764705882E-2</v>
      </c>
      <c r="J75" s="27">
        <v>9.7847358121330719E-4</v>
      </c>
      <c r="K75" s="27">
        <v>0.1270718232044199</v>
      </c>
      <c r="L75" s="27">
        <v>2.1978021978021978E-3</v>
      </c>
      <c r="M75" s="27">
        <v>2.2687609075043629E-2</v>
      </c>
      <c r="N75" s="87">
        <v>3.0404346463274477E-2</v>
      </c>
      <c r="O75" s="32" t="e">
        <v>#DIV/0!</v>
      </c>
      <c r="P75" s="32">
        <v>2.037351443123939E-2</v>
      </c>
      <c r="Q75" s="32" t="e">
        <v>#DIV/0!</v>
      </c>
      <c r="R75" s="32">
        <v>3.0927835051546393E-2</v>
      </c>
      <c r="S75" s="2"/>
      <c r="T75" s="2"/>
      <c r="U75" s="2"/>
      <c r="V75" s="2"/>
      <c r="W75" s="2"/>
      <c r="X75" s="2"/>
      <c r="Y75" s="2"/>
      <c r="Z75" s="2"/>
      <c r="AA75" s="2"/>
    </row>
    <row r="76" spans="2:27" x14ac:dyDescent="0.25">
      <c r="G76" s="15" t="s">
        <v>141</v>
      </c>
      <c r="H76" s="27">
        <v>4.6698872785829307E-2</v>
      </c>
      <c r="I76" s="27">
        <v>6.266506602641056E-2</v>
      </c>
      <c r="J76" s="27">
        <v>8.2191780821917804E-2</v>
      </c>
      <c r="K76" s="27">
        <v>4.2357274401473299E-2</v>
      </c>
      <c r="L76" s="27">
        <v>6.5934065934065936E-2</v>
      </c>
      <c r="M76" s="27">
        <v>4.9738219895287955E-2</v>
      </c>
      <c r="N76" s="87">
        <v>5.3912861769929994E-2</v>
      </c>
      <c r="O76" s="32"/>
      <c r="P76" s="32"/>
      <c r="Q76" s="32"/>
      <c r="R76" s="32"/>
      <c r="S76" s="2"/>
      <c r="T76" s="2"/>
      <c r="U76" s="2"/>
      <c r="V76" s="2"/>
      <c r="W76" s="2"/>
      <c r="X76" s="2"/>
      <c r="Y76" s="2"/>
      <c r="Z76" s="2"/>
      <c r="AA76" s="2"/>
    </row>
    <row r="77" spans="2:27" x14ac:dyDescent="0.25">
      <c r="G77" s="15" t="s">
        <v>142</v>
      </c>
      <c r="H77" s="27">
        <v>0.28502415458937197</v>
      </c>
      <c r="I77" s="27">
        <v>0.2857142857142857</v>
      </c>
      <c r="J77" s="27">
        <v>0.31213307240704502</v>
      </c>
      <c r="K77" s="27">
        <v>0.31307550644567217</v>
      </c>
      <c r="L77" s="27">
        <v>0.22307692307692309</v>
      </c>
      <c r="M77" s="27">
        <v>0.28359511343804539</v>
      </c>
      <c r="N77" s="87">
        <v>0.28534113467767214</v>
      </c>
      <c r="O77" s="32"/>
      <c r="P77" s="32"/>
      <c r="Q77" s="32"/>
      <c r="R77" s="32"/>
      <c r="S77" s="2"/>
      <c r="T77" s="2"/>
      <c r="U77" s="2"/>
      <c r="V77" s="2"/>
      <c r="W77" s="2"/>
      <c r="X77" s="2"/>
      <c r="Y77" s="2"/>
      <c r="Z77" s="2"/>
      <c r="AA77" s="2"/>
    </row>
    <row r="78" spans="2:27" x14ac:dyDescent="0.25">
      <c r="G78" s="15" t="s">
        <v>43</v>
      </c>
      <c r="H78" s="27">
        <v>2.0933977455716679E-2</v>
      </c>
      <c r="I78" s="27">
        <v>3.0972388955582186E-2</v>
      </c>
      <c r="J78" s="27">
        <v>2.6418786692759322E-2</v>
      </c>
      <c r="K78" s="27">
        <v>2.3941068139963217E-2</v>
      </c>
      <c r="L78" s="27">
        <v>2.3076923076923106E-2</v>
      </c>
      <c r="M78" s="27">
        <v>2.0942408376963373E-2</v>
      </c>
      <c r="N78" s="87">
        <v>2.6434019433705824E-2</v>
      </c>
      <c r="O78" s="32" t="e">
        <v>#DIV/0!</v>
      </c>
      <c r="P78" s="32">
        <v>0</v>
      </c>
      <c r="Q78" s="32" t="e">
        <v>#DIV/0!</v>
      </c>
      <c r="R78" s="32">
        <v>0</v>
      </c>
      <c r="S78" s="2"/>
      <c r="T78" s="2"/>
      <c r="U78" s="2"/>
      <c r="V78" s="2"/>
      <c r="W78" s="2"/>
      <c r="X78" s="2"/>
      <c r="Y78" s="2"/>
      <c r="Z78" s="2"/>
      <c r="AA78" s="2"/>
    </row>
    <row r="79" spans="2:27" x14ac:dyDescent="0.25">
      <c r="G79" s="4"/>
      <c r="H79" s="37"/>
      <c r="I79" s="2"/>
      <c r="J79" s="5"/>
      <c r="K79" s="37"/>
      <c r="L79" s="2"/>
      <c r="N79" s="80"/>
    </row>
    <row r="80" spans="2:27" hidden="1" x14ac:dyDescent="0.25">
      <c r="G80" s="4"/>
      <c r="H80" s="2"/>
      <c r="J80" s="2"/>
      <c r="N80" s="80"/>
    </row>
    <row r="81" spans="1:32" s="63" customFormat="1" ht="48.75" hidden="1" customHeight="1" x14ac:dyDescent="0.25">
      <c r="C81" s="85"/>
      <c r="D81" s="85"/>
      <c r="E81" s="85"/>
      <c r="F81" s="85"/>
      <c r="G81" s="86" t="s">
        <v>94</v>
      </c>
      <c r="H81" s="50" t="s">
        <v>105</v>
      </c>
      <c r="I81" s="50" t="s">
        <v>106</v>
      </c>
      <c r="J81" s="50" t="s">
        <v>107</v>
      </c>
      <c r="K81" s="19" t="s">
        <v>108</v>
      </c>
      <c r="L81" s="19" t="s">
        <v>111</v>
      </c>
      <c r="M81" s="19" t="s">
        <v>110</v>
      </c>
      <c r="N81" s="79" t="s">
        <v>1</v>
      </c>
    </row>
    <row r="82" spans="1:32" hidden="1" x14ac:dyDescent="0.25">
      <c r="G82" s="12"/>
      <c r="H82" s="2" t="s">
        <v>44</v>
      </c>
      <c r="J82" s="2"/>
      <c r="O82" s="2"/>
    </row>
    <row r="83" spans="1:32" hidden="1" x14ac:dyDescent="0.25">
      <c r="G83" s="15" t="s">
        <v>85</v>
      </c>
      <c r="H83" s="27">
        <v>0.57134536983110074</v>
      </c>
      <c r="I83" s="27">
        <v>0.4322195055691388</v>
      </c>
      <c r="J83" s="27">
        <v>0.56518883415435139</v>
      </c>
      <c r="K83" s="27">
        <v>0.73297628156082628</v>
      </c>
      <c r="L83" s="27">
        <v>0.94849368318756078</v>
      </c>
      <c r="M83" s="27">
        <v>0.89646464646464652</v>
      </c>
      <c r="N83" s="87">
        <v>0.57093030629716535</v>
      </c>
      <c r="O83" s="32" t="e">
        <v>#DIV/0!</v>
      </c>
      <c r="P83" s="32">
        <v>0.57134536983110074</v>
      </c>
      <c r="Q83" s="32" t="e">
        <v>#DIV/0!</v>
      </c>
      <c r="R83" s="32">
        <v>0.57093030629716535</v>
      </c>
      <c r="S83" s="2"/>
      <c r="T83" s="32"/>
      <c r="U83" s="32"/>
      <c r="V83" s="32"/>
      <c r="W83" s="32"/>
      <c r="X83" s="2"/>
      <c r="Y83" s="2"/>
      <c r="Z83" s="2"/>
      <c r="AA83" s="2"/>
      <c r="AB83" s="2"/>
      <c r="AC83" s="2"/>
      <c r="AD83" s="2"/>
      <c r="AE83" s="2"/>
      <c r="AF83" s="2"/>
    </row>
    <row r="84" spans="1:32" hidden="1" x14ac:dyDescent="0.25">
      <c r="G84" s="15" t="s">
        <v>87</v>
      </c>
      <c r="H84" s="27">
        <v>0.23645894001164822</v>
      </c>
      <c r="I84" s="27">
        <v>0.30997011681608261</v>
      </c>
      <c r="J84" s="27">
        <v>2.3316912972085387E-2</v>
      </c>
      <c r="K84" s="27">
        <v>0.17521040550879877</v>
      </c>
      <c r="L84" s="27">
        <v>0</v>
      </c>
      <c r="M84" s="27">
        <v>0</v>
      </c>
      <c r="N84" s="87">
        <v>0.18948569979072866</v>
      </c>
      <c r="O84" s="32" t="e">
        <v>#DIV/0!</v>
      </c>
      <c r="P84" s="32">
        <v>0.23645894001164822</v>
      </c>
      <c r="Q84" s="32" t="e">
        <v>#DIV/0!</v>
      </c>
      <c r="R84" s="32">
        <v>0.18948569979072866</v>
      </c>
      <c r="S84" s="2"/>
      <c r="T84" s="32"/>
      <c r="U84" s="32"/>
      <c r="V84" s="32"/>
      <c r="W84" s="32"/>
      <c r="X84" s="2"/>
      <c r="Y84" s="2"/>
      <c r="Z84" s="2"/>
      <c r="AA84" s="2"/>
      <c r="AB84" s="2"/>
      <c r="AC84" s="2"/>
      <c r="AD84" s="2"/>
      <c r="AE84" s="2"/>
      <c r="AF84" s="2"/>
    </row>
    <row r="85" spans="1:32" hidden="1" x14ac:dyDescent="0.25">
      <c r="G85" s="15" t="s">
        <v>88</v>
      </c>
      <c r="H85" s="27">
        <v>0.12405358182877112</v>
      </c>
      <c r="I85" s="27">
        <v>0.19261070361314861</v>
      </c>
      <c r="J85" s="27">
        <v>0.34417077175697863</v>
      </c>
      <c r="K85" s="27">
        <v>1.3006885998469778E-2</v>
      </c>
      <c r="L85" s="27">
        <v>1.4577259475218658E-2</v>
      </c>
      <c r="M85" s="27">
        <v>4.4612794612794611E-2</v>
      </c>
      <c r="N85" s="87">
        <v>0.1752806138626419</v>
      </c>
      <c r="O85" s="32" t="e">
        <v>#DIV/0!</v>
      </c>
      <c r="P85" s="32">
        <v>0.12405358182877112</v>
      </c>
      <c r="Q85" s="32" t="e">
        <v>#DIV/0!</v>
      </c>
      <c r="R85" s="32">
        <v>0.1752806138626419</v>
      </c>
      <c r="S85" s="2"/>
      <c r="T85" s="32"/>
      <c r="U85" s="32"/>
      <c r="V85" s="32"/>
      <c r="W85" s="32"/>
      <c r="X85" s="2"/>
      <c r="Y85" s="2"/>
      <c r="Z85" s="2"/>
      <c r="AA85" s="2"/>
      <c r="AB85" s="2"/>
      <c r="AC85" s="2"/>
      <c r="AD85" s="2"/>
      <c r="AE85" s="2"/>
      <c r="AF85" s="2"/>
    </row>
    <row r="86" spans="1:32" hidden="1" x14ac:dyDescent="0.25">
      <c r="G86" s="15" t="s">
        <v>86</v>
      </c>
      <c r="H86" s="27">
        <v>2.0966802562609202E-2</v>
      </c>
      <c r="I86" s="27">
        <v>2.947568595490356E-2</v>
      </c>
      <c r="J86" s="27">
        <v>2.2988505747126436E-2</v>
      </c>
      <c r="K86" s="27">
        <v>1.3006885998469778E-2</v>
      </c>
      <c r="L86" s="27">
        <v>0</v>
      </c>
      <c r="M86" s="27">
        <v>2.5252525252525255E-3</v>
      </c>
      <c r="N86" s="87">
        <v>2.1751537827382841E-2</v>
      </c>
      <c r="O86" s="32" t="e">
        <v>#DIV/0!</v>
      </c>
      <c r="P86" s="32">
        <v>2.0966802562609202E-2</v>
      </c>
      <c r="Q86" s="32" t="e">
        <v>#DIV/0!</v>
      </c>
      <c r="R86" s="32">
        <v>2.1751537827382841E-2</v>
      </c>
      <c r="S86" s="2"/>
      <c r="T86" s="32"/>
      <c r="U86" s="32"/>
      <c r="V86" s="32"/>
      <c r="W86" s="32"/>
      <c r="X86" s="2"/>
      <c r="Y86" s="2"/>
      <c r="Z86" s="2"/>
      <c r="AA86" s="2"/>
      <c r="AB86" s="2"/>
      <c r="AC86" s="2"/>
      <c r="AD86" s="2"/>
      <c r="AE86" s="2"/>
      <c r="AF86" s="2"/>
    </row>
    <row r="87" spans="1:32" hidden="1" x14ac:dyDescent="0.25">
      <c r="G87" s="15" t="s">
        <v>43</v>
      </c>
      <c r="H87" s="88">
        <v>4.7175305765870701E-2</v>
      </c>
      <c r="I87" s="88">
        <v>3.5723988046726496E-2</v>
      </c>
      <c r="J87" s="88">
        <v>4.4334975369458185E-2</v>
      </c>
      <c r="K87" s="88">
        <v>6.579954093343543E-2</v>
      </c>
      <c r="L87" s="88">
        <v>3.6929057337220517E-2</v>
      </c>
      <c r="M87" s="88">
        <v>5.6397306397306335E-2</v>
      </c>
      <c r="N87" s="89">
        <v>4.2551842222081304E-2</v>
      </c>
      <c r="O87" s="32" t="e">
        <v>#DIV/0!</v>
      </c>
      <c r="P87" s="32">
        <v>0</v>
      </c>
      <c r="Q87" s="32" t="e">
        <v>#DIV/0!</v>
      </c>
      <c r="R87" s="32">
        <v>0</v>
      </c>
    </row>
    <row r="88" spans="1:32" ht="9.75" customHeight="1" x14ac:dyDescent="0.25">
      <c r="G88" s="15"/>
      <c r="H88" s="11"/>
      <c r="I88" s="2"/>
      <c r="J88" s="5"/>
      <c r="K88" s="11"/>
      <c r="L88" s="2"/>
    </row>
    <row r="89" spans="1:32" ht="15.75" x14ac:dyDescent="0.25">
      <c r="A89" s="14" t="s">
        <v>37</v>
      </c>
      <c r="B89" s="10"/>
      <c r="C89" s="10"/>
      <c r="D89" s="10"/>
      <c r="E89" s="10"/>
      <c r="F89" s="10"/>
      <c r="G89" s="10"/>
      <c r="H89" s="10"/>
      <c r="I89" s="30"/>
      <c r="J89" s="10"/>
      <c r="K89" s="10"/>
      <c r="L89" s="10"/>
      <c r="M89" s="10"/>
      <c r="N89" s="10"/>
    </row>
    <row r="90" spans="1:32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1:32" x14ac:dyDescent="0.25">
      <c r="A91" s="12"/>
      <c r="B91" s="65" t="s">
        <v>39</v>
      </c>
      <c r="C91" s="65"/>
      <c r="D91" s="65"/>
      <c r="E91" s="12"/>
      <c r="F91" s="12"/>
      <c r="G91" s="12"/>
      <c r="H91" s="12"/>
      <c r="I91" s="12"/>
      <c r="J91" s="80"/>
    </row>
    <row r="92" spans="1:32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80"/>
    </row>
    <row r="93" spans="1:32" ht="45" x14ac:dyDescent="0.25">
      <c r="A93" s="12"/>
      <c r="B93" s="12"/>
      <c r="C93" s="12"/>
      <c r="D93" s="50" t="s">
        <v>105</v>
      </c>
      <c r="E93" s="50" t="s">
        <v>106</v>
      </c>
      <c r="F93" s="50" t="s">
        <v>107</v>
      </c>
      <c r="G93" s="19" t="s">
        <v>108</v>
      </c>
      <c r="H93" s="19" t="s">
        <v>111</v>
      </c>
      <c r="I93" s="19" t="s">
        <v>110</v>
      </c>
      <c r="J93" s="79" t="s">
        <v>1</v>
      </c>
      <c r="K93" s="12"/>
      <c r="L93" s="12"/>
      <c r="M93" s="12"/>
      <c r="N93" s="12"/>
    </row>
    <row r="94" spans="1:32" x14ac:dyDescent="0.25">
      <c r="A94" s="12"/>
      <c r="B94" s="15"/>
      <c r="C94" s="15" t="s">
        <v>40</v>
      </c>
      <c r="D94" s="27">
        <v>5.6426332288401257E-2</v>
      </c>
      <c r="E94" s="27">
        <v>8.5106382978723402E-2</v>
      </c>
      <c r="F94" s="27">
        <v>0.17973856209150327</v>
      </c>
      <c r="G94" s="27">
        <v>0.11522633744855967</v>
      </c>
      <c r="H94" s="27">
        <v>8.6776859504132234E-2</v>
      </c>
      <c r="I94" s="27">
        <v>7.6642335766423361E-2</v>
      </c>
      <c r="J94" s="87">
        <v>9.553349875930521E-2</v>
      </c>
      <c r="K94" s="12"/>
      <c r="L94" s="12"/>
      <c r="M94" s="31">
        <v>0</v>
      </c>
      <c r="N94" s="31" t="e">
        <v>#DIV/0!</v>
      </c>
      <c r="O94" s="32">
        <v>0.10443974630021141</v>
      </c>
    </row>
    <row r="95" spans="1:32" x14ac:dyDescent="0.25">
      <c r="A95" s="12"/>
      <c r="B95" s="15"/>
      <c r="C95" s="15" t="s">
        <v>41</v>
      </c>
      <c r="D95" s="27">
        <v>3.1347962382445138E-2</v>
      </c>
      <c r="E95" s="27">
        <v>4.0618955512572531E-2</v>
      </c>
      <c r="F95" s="27">
        <v>4.9019607843137254E-2</v>
      </c>
      <c r="G95" s="27">
        <v>8.2304526748971193E-2</v>
      </c>
      <c r="H95" s="27">
        <v>1.6528925619834711E-2</v>
      </c>
      <c r="I95" s="27">
        <v>6.569343065693431E-2</v>
      </c>
      <c r="J95" s="87">
        <v>4.5078577336641855E-2</v>
      </c>
      <c r="K95" s="12"/>
      <c r="L95" s="12"/>
      <c r="M95" s="31">
        <v>0.56393442622950818</v>
      </c>
      <c r="N95" s="31" t="e">
        <v>#DIV/0!</v>
      </c>
      <c r="O95" s="32">
        <v>7.399577167019028E-2</v>
      </c>
    </row>
    <row r="96" spans="1:32" x14ac:dyDescent="0.25">
      <c r="A96" s="68"/>
      <c r="B96" s="15"/>
      <c r="C96" s="15" t="s">
        <v>102</v>
      </c>
      <c r="D96" s="27">
        <v>0.13479623824451412</v>
      </c>
      <c r="E96" s="27">
        <v>0.15087040618955513</v>
      </c>
      <c r="F96" s="27">
        <v>7.1895424836601302E-2</v>
      </c>
      <c r="G96" s="27">
        <v>5.3497942386831275E-2</v>
      </c>
      <c r="H96" s="27">
        <v>0.11983471074380166</v>
      </c>
      <c r="I96" s="27">
        <v>0.12773722627737227</v>
      </c>
      <c r="J96" s="87">
        <v>0.12324234904880066</v>
      </c>
      <c r="K96" s="12"/>
      <c r="L96" s="12"/>
      <c r="M96" s="31">
        <v>0.23606557377049181</v>
      </c>
      <c r="N96" s="31" t="e">
        <v>#DIV/0!</v>
      </c>
      <c r="O96" s="32">
        <v>0.48583509513742074</v>
      </c>
    </row>
    <row r="97" spans="1:15" x14ac:dyDescent="0.25">
      <c r="A97" s="12"/>
      <c r="B97" s="15"/>
      <c r="C97" s="15" t="s">
        <v>42</v>
      </c>
      <c r="D97" s="27">
        <v>2.8213166144200628E-2</v>
      </c>
      <c r="E97" s="27">
        <v>3.1914893617021274E-2</v>
      </c>
      <c r="F97" s="27">
        <v>3.5947712418300651E-2</v>
      </c>
      <c r="G97" s="27">
        <v>8.23045267489712E-3</v>
      </c>
      <c r="H97" s="27">
        <v>6.1983471074380167E-2</v>
      </c>
      <c r="I97" s="27">
        <v>2.9197080291970802E-2</v>
      </c>
      <c r="J97" s="87">
        <v>3.2258064516129031E-2</v>
      </c>
      <c r="K97" s="12"/>
      <c r="L97" s="12"/>
      <c r="M97" s="31">
        <v>0</v>
      </c>
      <c r="N97" s="31" t="e">
        <v>#DIV/0!</v>
      </c>
      <c r="O97" s="32">
        <v>4.693446088794926E-2</v>
      </c>
    </row>
    <row r="98" spans="1:15" x14ac:dyDescent="0.25">
      <c r="A98" s="68"/>
      <c r="B98" s="15"/>
      <c r="C98" s="16" t="s">
        <v>103</v>
      </c>
      <c r="D98" s="27">
        <v>6.2695924764890276E-2</v>
      </c>
      <c r="E98" s="27">
        <v>8.994197292069632E-2</v>
      </c>
      <c r="F98" s="27">
        <v>3.5947712418300651E-2</v>
      </c>
      <c r="G98" s="27">
        <v>6.584362139917696E-2</v>
      </c>
      <c r="H98" s="27">
        <v>5.3719008264462811E-2</v>
      </c>
      <c r="I98" s="27">
        <v>3.6496350364963501E-2</v>
      </c>
      <c r="J98" s="87">
        <v>6.7411083540115796E-2</v>
      </c>
      <c r="K98" s="12"/>
      <c r="L98" s="12"/>
      <c r="M98" s="31">
        <v>3.2786885245901639E-3</v>
      </c>
      <c r="N98" s="31" t="e">
        <v>#DIV/0!</v>
      </c>
      <c r="O98" s="32">
        <v>7.9915433403805497E-2</v>
      </c>
    </row>
    <row r="99" spans="1:15" x14ac:dyDescent="0.25">
      <c r="A99" s="12"/>
      <c r="B99" s="15"/>
      <c r="C99" s="16" t="s">
        <v>104</v>
      </c>
      <c r="D99" s="27">
        <v>6.2695924764890276E-2</v>
      </c>
      <c r="E99" s="27">
        <v>0.1102514506769826</v>
      </c>
      <c r="F99" s="27">
        <v>0.12745098039215685</v>
      </c>
      <c r="G99" s="27">
        <v>7.8189300411522639E-2</v>
      </c>
      <c r="H99" s="27">
        <v>6.6115702479338845E-2</v>
      </c>
      <c r="I99" s="27">
        <v>6.569343065693431E-2</v>
      </c>
      <c r="J99" s="87">
        <v>9.3465674110835395E-2</v>
      </c>
      <c r="K99" s="12"/>
      <c r="L99" s="12"/>
      <c r="M99" s="31">
        <v>0</v>
      </c>
      <c r="N99" s="31" t="e">
        <v>#DIV/0!</v>
      </c>
      <c r="O99" s="32">
        <v>0.15940803382663848</v>
      </c>
    </row>
    <row r="100" spans="1:15" x14ac:dyDescent="0.25">
      <c r="A100" s="68"/>
      <c r="B100" s="16"/>
      <c r="C100" s="16" t="s">
        <v>100</v>
      </c>
      <c r="D100" s="27">
        <v>0.54858934169278994</v>
      </c>
      <c r="E100" s="27">
        <v>0.44100580270793038</v>
      </c>
      <c r="F100" s="27">
        <v>0.38562091503267976</v>
      </c>
      <c r="G100" s="27">
        <v>0.53909465020576131</v>
      </c>
      <c r="H100" s="27">
        <v>0.56198347107438018</v>
      </c>
      <c r="I100" s="27">
        <v>0.47810218978102192</v>
      </c>
      <c r="J100" s="87">
        <v>0.47435897435897434</v>
      </c>
      <c r="K100" s="12"/>
      <c r="L100" s="12"/>
      <c r="M100" s="31">
        <v>0.19672131147540983</v>
      </c>
      <c r="N100" s="31" t="e">
        <v>#DIV/0!</v>
      </c>
      <c r="O100" s="32">
        <v>4.9471458773784352E-2</v>
      </c>
    </row>
    <row r="101" spans="1:15" x14ac:dyDescent="0.25">
      <c r="A101" s="12"/>
      <c r="B101" s="16"/>
      <c r="C101" s="16" t="s">
        <v>43</v>
      </c>
      <c r="D101" s="27">
        <v>7.5235109717868398E-2</v>
      </c>
      <c r="E101" s="27">
        <v>5.0290135396518387E-2</v>
      </c>
      <c r="F101" s="27">
        <v>0.1143790849673203</v>
      </c>
      <c r="G101" s="27">
        <v>5.7613168724279906E-2</v>
      </c>
      <c r="H101" s="27">
        <v>3.3057851239669422E-2</v>
      </c>
      <c r="I101" s="27">
        <v>0.12043795620437947</v>
      </c>
      <c r="J101" s="87">
        <v>6.8651778329197666E-2</v>
      </c>
      <c r="K101" s="12"/>
      <c r="L101" s="12"/>
      <c r="M101" s="12"/>
      <c r="N101" s="12"/>
    </row>
    <row r="102" spans="1:15" x14ac:dyDescent="0.25">
      <c r="A102" s="12"/>
      <c r="B102" s="16"/>
      <c r="C102" s="69"/>
      <c r="D102" s="48"/>
      <c r="E102" s="48"/>
      <c r="F102" s="12"/>
      <c r="G102" s="12"/>
      <c r="H102" s="12"/>
      <c r="I102" s="12"/>
      <c r="J102" s="80"/>
    </row>
    <row r="103" spans="1:15" ht="12" customHeight="1" x14ac:dyDescent="0.25">
      <c r="C103" s="70"/>
      <c r="H103" s="12"/>
      <c r="I103" s="12"/>
      <c r="J103" s="80"/>
    </row>
    <row r="104" spans="1:15" ht="12" customHeight="1" x14ac:dyDescent="0.25">
      <c r="B104" s="65" t="s">
        <v>69</v>
      </c>
      <c r="C104" s="65"/>
      <c r="D104" s="65"/>
      <c r="E104" s="65"/>
      <c r="H104" s="31">
        <v>50</v>
      </c>
      <c r="I104" s="31">
        <v>0</v>
      </c>
      <c r="J104" s="90">
        <v>486</v>
      </c>
    </row>
    <row r="105" spans="1:15" ht="12" customHeight="1" x14ac:dyDescent="0.25">
      <c r="B105" s="12"/>
      <c r="C105" s="12"/>
      <c r="D105" s="12"/>
      <c r="E105" s="12"/>
      <c r="H105" s="12"/>
      <c r="I105" s="12"/>
      <c r="J105" s="80"/>
    </row>
    <row r="106" spans="1:15" ht="16.5" customHeight="1" x14ac:dyDescent="0.25">
      <c r="B106" s="12"/>
      <c r="C106" s="12"/>
      <c r="D106" s="144" t="s">
        <v>112</v>
      </c>
      <c r="E106" s="145"/>
      <c r="F106" s="145"/>
      <c r="G106" s="145"/>
      <c r="H106" s="145"/>
      <c r="I106" s="145"/>
      <c r="J106" s="146"/>
    </row>
    <row r="107" spans="1:15" ht="49.5" customHeight="1" x14ac:dyDescent="0.25">
      <c r="A107" s="71"/>
      <c r="B107" s="147" t="s">
        <v>113</v>
      </c>
      <c r="C107" s="148"/>
      <c r="D107" s="50" t="s">
        <v>105</v>
      </c>
      <c r="E107" s="50" t="s">
        <v>106</v>
      </c>
      <c r="F107" s="50" t="s">
        <v>107</v>
      </c>
      <c r="G107" s="19" t="s">
        <v>108</v>
      </c>
      <c r="H107" s="19" t="s">
        <v>111</v>
      </c>
      <c r="I107" s="19" t="s">
        <v>110</v>
      </c>
      <c r="J107" s="79" t="s">
        <v>1</v>
      </c>
      <c r="M107" s="31">
        <v>0</v>
      </c>
      <c r="N107" s="31">
        <v>0</v>
      </c>
      <c r="O107" s="32">
        <v>43</v>
      </c>
    </row>
    <row r="108" spans="1:15" ht="15" customHeight="1" x14ac:dyDescent="0.25">
      <c r="A108" s="71"/>
      <c r="B108" s="12"/>
      <c r="C108" s="15" t="s">
        <v>11</v>
      </c>
      <c r="D108" s="27">
        <v>0</v>
      </c>
      <c r="E108" s="27">
        <v>0</v>
      </c>
      <c r="F108" s="27">
        <v>2.9411764705882353E-2</v>
      </c>
      <c r="G108" s="27">
        <v>4.11522633744856E-3</v>
      </c>
      <c r="H108" s="27">
        <v>0</v>
      </c>
      <c r="I108" s="27">
        <v>0.87226277372262773</v>
      </c>
      <c r="J108" s="87">
        <v>0.10297766749379653</v>
      </c>
      <c r="M108" s="31">
        <v>0</v>
      </c>
      <c r="N108" s="31">
        <v>0</v>
      </c>
      <c r="O108" s="32">
        <v>0</v>
      </c>
    </row>
    <row r="109" spans="1:15" ht="15" customHeight="1" x14ac:dyDescent="0.25">
      <c r="B109" s="12"/>
      <c r="C109" s="15" t="s">
        <v>12</v>
      </c>
      <c r="D109" s="27">
        <v>0.57366771159874608</v>
      </c>
      <c r="E109" s="27">
        <v>1.9342359767891683E-3</v>
      </c>
      <c r="F109" s="27">
        <v>0</v>
      </c>
      <c r="G109" s="27">
        <v>4.11522633744856E-3</v>
      </c>
      <c r="H109" s="27">
        <v>0</v>
      </c>
      <c r="I109" s="27">
        <v>0</v>
      </c>
      <c r="J109" s="87">
        <v>7.6923076923076927E-2</v>
      </c>
      <c r="M109" s="31">
        <v>26</v>
      </c>
      <c r="N109" s="31">
        <v>0</v>
      </c>
      <c r="O109" s="32">
        <v>210</v>
      </c>
    </row>
    <row r="110" spans="1:15" ht="15" customHeight="1" x14ac:dyDescent="0.25">
      <c r="B110" s="12"/>
      <c r="C110" s="15" t="s">
        <v>13</v>
      </c>
      <c r="D110" s="27">
        <v>0.23197492163009403</v>
      </c>
      <c r="E110" s="27">
        <v>0.9874274661508704</v>
      </c>
      <c r="F110" s="27">
        <v>0.1111111111111111</v>
      </c>
      <c r="G110" s="27">
        <v>0.11934156378600823</v>
      </c>
      <c r="H110" s="27">
        <v>1.2396694214876033E-2</v>
      </c>
      <c r="I110" s="27">
        <v>1.0948905109489052E-2</v>
      </c>
      <c r="J110" s="87">
        <v>0.4813895781637717</v>
      </c>
      <c r="M110" s="31">
        <v>0</v>
      </c>
      <c r="N110" s="31">
        <v>0</v>
      </c>
      <c r="O110" s="32">
        <v>0</v>
      </c>
    </row>
    <row r="111" spans="1:15" ht="15" customHeight="1" x14ac:dyDescent="0.25">
      <c r="B111" s="12"/>
      <c r="C111" s="15" t="s">
        <v>14</v>
      </c>
      <c r="D111" s="27">
        <v>0</v>
      </c>
      <c r="E111" s="27">
        <v>0</v>
      </c>
      <c r="F111" s="27">
        <v>0.37581699346405228</v>
      </c>
      <c r="G111" s="27">
        <v>0</v>
      </c>
      <c r="H111" s="27">
        <v>4.1322314049586778E-3</v>
      </c>
      <c r="I111" s="27">
        <v>7.2992700729927005E-3</v>
      </c>
      <c r="J111" s="87">
        <v>4.8800661703887513E-2</v>
      </c>
      <c r="M111" s="31">
        <v>0</v>
      </c>
      <c r="N111" s="31">
        <v>0</v>
      </c>
      <c r="O111" s="32">
        <v>29</v>
      </c>
    </row>
    <row r="112" spans="1:15" ht="15" customHeight="1" x14ac:dyDescent="0.25">
      <c r="B112" s="12"/>
      <c r="C112" s="15" t="s">
        <v>15</v>
      </c>
      <c r="D112" s="27">
        <v>3.134796238244514E-3</v>
      </c>
      <c r="E112" s="27">
        <v>0</v>
      </c>
      <c r="F112" s="27">
        <v>0</v>
      </c>
      <c r="G112" s="27">
        <v>0.79423868312757206</v>
      </c>
      <c r="H112" s="27">
        <v>0</v>
      </c>
      <c r="I112" s="27">
        <v>0</v>
      </c>
      <c r="J112" s="87">
        <v>8.0231596360628613E-2</v>
      </c>
      <c r="M112" s="31">
        <v>0</v>
      </c>
      <c r="N112" s="31">
        <v>0</v>
      </c>
      <c r="O112" s="32">
        <v>159</v>
      </c>
    </row>
    <row r="113" spans="2:17" ht="15" customHeight="1" x14ac:dyDescent="0.25">
      <c r="B113" s="12"/>
      <c r="C113" s="15" t="s">
        <v>16</v>
      </c>
      <c r="D113" s="27">
        <v>0</v>
      </c>
      <c r="E113" s="27">
        <v>9.6711798839458415E-4</v>
      </c>
      <c r="F113" s="27">
        <v>0.47385620915032678</v>
      </c>
      <c r="G113" s="27">
        <v>0</v>
      </c>
      <c r="H113" s="27">
        <v>0.96280991735537191</v>
      </c>
      <c r="I113" s="27">
        <v>3.2846715328467155E-2</v>
      </c>
      <c r="J113" s="87">
        <v>0.16046319272125723</v>
      </c>
      <c r="M113" s="31">
        <v>24</v>
      </c>
      <c r="N113" s="31">
        <v>0</v>
      </c>
      <c r="O113" s="32">
        <v>44</v>
      </c>
    </row>
    <row r="114" spans="2:17" ht="15" customHeight="1" x14ac:dyDescent="0.25">
      <c r="B114" s="12"/>
      <c r="C114" s="15" t="s">
        <v>10</v>
      </c>
      <c r="D114" s="27">
        <v>0.19122257053291536</v>
      </c>
      <c r="E114" s="27">
        <v>9.6711798839458421E-3</v>
      </c>
      <c r="F114" s="27">
        <v>9.8039215686274508E-3</v>
      </c>
      <c r="G114" s="27">
        <v>7.8189300411522639E-2</v>
      </c>
      <c r="H114" s="27">
        <v>2.0661157024793389E-2</v>
      </c>
      <c r="I114" s="27">
        <v>7.6642335766423361E-2</v>
      </c>
      <c r="J114" s="87">
        <v>4.9214226633581472E-2</v>
      </c>
    </row>
    <row r="115" spans="2:17" ht="15" hidden="1" customHeight="1" x14ac:dyDescent="0.25">
      <c r="J115" s="80"/>
    </row>
    <row r="116" spans="2:17" ht="6" hidden="1" customHeight="1" x14ac:dyDescent="0.25">
      <c r="J116" s="80"/>
    </row>
    <row r="117" spans="2:17" hidden="1" x14ac:dyDescent="0.25">
      <c r="G117" s="4"/>
      <c r="J117" s="80"/>
    </row>
    <row r="118" spans="2:17" x14ac:dyDescent="0.25">
      <c r="G118" s="4"/>
      <c r="J118" s="80"/>
    </row>
    <row r="119" spans="2:17" x14ac:dyDescent="0.25">
      <c r="G119" s="4"/>
      <c r="H119" s="4"/>
      <c r="J119" s="91"/>
      <c r="K119" s="4"/>
    </row>
    <row r="120" spans="2:17" x14ac:dyDescent="0.25">
      <c r="B120" s="65" t="s">
        <v>97</v>
      </c>
      <c r="C120" s="65"/>
      <c r="D120" s="65"/>
      <c r="E120" s="65"/>
      <c r="G120" s="4"/>
      <c r="H120" s="4"/>
      <c r="J120" s="91"/>
      <c r="K120" s="4"/>
    </row>
    <row r="121" spans="2:17" x14ac:dyDescent="0.25">
      <c r="B121" s="65"/>
      <c r="C121" s="65"/>
      <c r="D121" s="65"/>
      <c r="E121" s="65"/>
      <c r="G121" s="4"/>
      <c r="H121" s="4"/>
      <c r="J121" s="91"/>
      <c r="K121" s="4"/>
    </row>
    <row r="122" spans="2:17" x14ac:dyDescent="0.25">
      <c r="B122" s="65"/>
      <c r="C122" s="65"/>
      <c r="D122" s="144" t="s">
        <v>112</v>
      </c>
      <c r="E122" s="145"/>
      <c r="F122" s="145"/>
      <c r="G122" s="145"/>
      <c r="H122" s="145"/>
      <c r="I122" s="145"/>
      <c r="J122" s="146"/>
      <c r="K122" s="4"/>
    </row>
    <row r="123" spans="2:17" ht="45" x14ac:dyDescent="0.25">
      <c r="B123" s="147" t="s">
        <v>113</v>
      </c>
      <c r="C123" s="148"/>
      <c r="D123" s="50" t="s">
        <v>105</v>
      </c>
      <c r="E123" s="50" t="s">
        <v>106</v>
      </c>
      <c r="F123" s="50" t="s">
        <v>107</v>
      </c>
      <c r="G123" s="19" t="s">
        <v>108</v>
      </c>
      <c r="H123" s="19" t="s">
        <v>111</v>
      </c>
      <c r="I123" s="19" t="s">
        <v>110</v>
      </c>
      <c r="J123" s="79" t="s">
        <v>1</v>
      </c>
      <c r="K123" s="75"/>
      <c r="M123" s="4"/>
      <c r="N123" s="4"/>
      <c r="P123" s="5"/>
      <c r="Q123" s="4"/>
    </row>
    <row r="124" spans="2:17" x14ac:dyDescent="0.25">
      <c r="B124" s="12"/>
      <c r="C124" s="92" t="s">
        <v>98</v>
      </c>
      <c r="D124" s="93">
        <v>55</v>
      </c>
      <c r="E124" s="93">
        <v>170</v>
      </c>
      <c r="F124" s="93">
        <v>107</v>
      </c>
      <c r="G124" s="93">
        <v>51</v>
      </c>
      <c r="H124" s="93">
        <v>58</v>
      </c>
      <c r="I124" s="93">
        <v>54</v>
      </c>
      <c r="J124" s="94">
        <v>495</v>
      </c>
      <c r="L124" s="4"/>
      <c r="M124" s="4"/>
      <c r="O124" s="5"/>
      <c r="P124" s="4"/>
    </row>
    <row r="125" spans="2:17" x14ac:dyDescent="0.25">
      <c r="B125" s="12"/>
      <c r="C125" s="76" t="s">
        <v>11</v>
      </c>
      <c r="D125" s="88">
        <v>0</v>
      </c>
      <c r="E125" s="88">
        <v>0</v>
      </c>
      <c r="F125" s="88">
        <v>0</v>
      </c>
      <c r="G125" s="88">
        <v>0</v>
      </c>
      <c r="H125" s="88">
        <v>0</v>
      </c>
      <c r="I125" s="88">
        <v>0.77777777777777779</v>
      </c>
      <c r="J125" s="89">
        <v>8.4848484848484854E-2</v>
      </c>
      <c r="L125" s="4"/>
      <c r="M125" s="4"/>
      <c r="O125" s="5"/>
      <c r="P125" s="4"/>
    </row>
    <row r="126" spans="2:17" x14ac:dyDescent="0.25">
      <c r="B126" s="12"/>
      <c r="C126" s="76" t="s">
        <v>12</v>
      </c>
      <c r="D126" s="88">
        <v>0</v>
      </c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9">
        <v>0</v>
      </c>
      <c r="L126" s="4"/>
      <c r="M126" s="4"/>
      <c r="O126" s="5"/>
      <c r="P126" s="4"/>
    </row>
    <row r="127" spans="2:17" x14ac:dyDescent="0.25">
      <c r="B127" s="12"/>
      <c r="C127" s="76" t="s">
        <v>13</v>
      </c>
      <c r="D127" s="88">
        <v>0.54545454545454541</v>
      </c>
      <c r="E127" s="88">
        <v>0.99411764705882355</v>
      </c>
      <c r="F127" s="88">
        <v>3.7383177570093455E-2</v>
      </c>
      <c r="G127" s="88">
        <v>0.27450980392156865</v>
      </c>
      <c r="H127" s="88">
        <v>3.4482758620689655E-2</v>
      </c>
      <c r="I127" s="88">
        <v>0</v>
      </c>
      <c r="J127" s="89">
        <v>0.44242424242424244</v>
      </c>
      <c r="L127" s="4"/>
      <c r="M127" s="4"/>
      <c r="O127" s="5"/>
      <c r="P127" s="4"/>
    </row>
    <row r="128" spans="2:17" x14ac:dyDescent="0.25">
      <c r="B128" s="12"/>
      <c r="C128" s="76" t="s">
        <v>14</v>
      </c>
      <c r="D128" s="88">
        <v>0</v>
      </c>
      <c r="E128" s="88">
        <v>0</v>
      </c>
      <c r="F128" s="88">
        <v>0</v>
      </c>
      <c r="G128" s="88">
        <v>0</v>
      </c>
      <c r="H128" s="88">
        <v>0</v>
      </c>
      <c r="I128" s="88">
        <v>0</v>
      </c>
      <c r="J128" s="89">
        <v>0</v>
      </c>
      <c r="L128" s="4"/>
      <c r="M128" s="4"/>
      <c r="O128" s="5"/>
      <c r="P128" s="4"/>
    </row>
    <row r="129" spans="2:16" x14ac:dyDescent="0.25">
      <c r="B129" s="12"/>
      <c r="C129" s="76" t="s">
        <v>15</v>
      </c>
      <c r="D129" s="88">
        <v>0</v>
      </c>
      <c r="E129" s="88">
        <v>0</v>
      </c>
      <c r="F129" s="88">
        <v>0</v>
      </c>
      <c r="G129" s="88">
        <v>0.56862745098039214</v>
      </c>
      <c r="H129" s="88">
        <v>0</v>
      </c>
      <c r="I129" s="88">
        <v>0</v>
      </c>
      <c r="J129" s="89">
        <v>5.8585858585858588E-2</v>
      </c>
      <c r="L129" s="4"/>
      <c r="M129" s="4"/>
      <c r="O129" s="5"/>
      <c r="P129" s="4"/>
    </row>
    <row r="130" spans="2:16" x14ac:dyDescent="0.25">
      <c r="B130" s="12"/>
      <c r="C130" s="76" t="s">
        <v>16</v>
      </c>
      <c r="D130" s="88">
        <v>0</v>
      </c>
      <c r="E130" s="88">
        <v>5.8823529411764705E-3</v>
      </c>
      <c r="F130" s="88">
        <v>0.95327102803738317</v>
      </c>
      <c r="G130" s="88">
        <v>0</v>
      </c>
      <c r="H130" s="88">
        <v>0.91379310344827591</v>
      </c>
      <c r="I130" s="88">
        <v>7.407407407407407E-2</v>
      </c>
      <c r="J130" s="89">
        <v>0.32323232323232326</v>
      </c>
      <c r="L130" s="4"/>
      <c r="M130" s="4"/>
      <c r="O130" s="5"/>
      <c r="P130" s="4"/>
    </row>
    <row r="131" spans="2:16" x14ac:dyDescent="0.25">
      <c r="B131" s="12"/>
      <c r="C131" s="76" t="s">
        <v>10</v>
      </c>
      <c r="D131" s="88">
        <v>0.45454545454545453</v>
      </c>
      <c r="E131" s="88">
        <v>0</v>
      </c>
      <c r="F131" s="88">
        <v>9.3457943925233638E-3</v>
      </c>
      <c r="G131" s="88">
        <v>0.15686274509803921</v>
      </c>
      <c r="H131" s="88">
        <v>5.1724137931034482E-2</v>
      </c>
      <c r="I131" s="88">
        <v>0.14814814814814814</v>
      </c>
      <c r="J131" s="89">
        <v>9.0909090909090912E-2</v>
      </c>
      <c r="L131" s="4"/>
      <c r="M131" s="4"/>
      <c r="O131" s="5"/>
      <c r="P131" s="4"/>
    </row>
    <row r="132" spans="2:16" x14ac:dyDescent="0.25">
      <c r="J132" s="5"/>
      <c r="K132" s="4"/>
    </row>
    <row r="133" spans="2:16" x14ac:dyDescent="0.25">
      <c r="G133" s="4"/>
      <c r="H133" s="4"/>
      <c r="J133" s="5"/>
      <c r="K133" s="4"/>
    </row>
    <row r="134" spans="2:16" x14ac:dyDescent="0.25">
      <c r="B134" s="38" t="s">
        <v>4</v>
      </c>
      <c r="C134" s="38"/>
      <c r="D134" s="38"/>
    </row>
    <row r="135" spans="2:16" x14ac:dyDescent="0.25"/>
    <row r="136" spans="2:16" ht="53.25" customHeight="1" x14ac:dyDescent="0.25">
      <c r="C136" s="50" t="s">
        <v>105</v>
      </c>
      <c r="D136" s="50" t="s">
        <v>106</v>
      </c>
      <c r="E136" s="50" t="s">
        <v>107</v>
      </c>
      <c r="F136" s="19" t="s">
        <v>108</v>
      </c>
      <c r="G136" s="19" t="s">
        <v>111</v>
      </c>
      <c r="H136" s="19" t="s">
        <v>110</v>
      </c>
      <c r="I136" s="79" t="s">
        <v>1</v>
      </c>
    </row>
    <row r="137" spans="2:16" x14ac:dyDescent="0.25">
      <c r="B137" s="17" t="s">
        <v>17</v>
      </c>
      <c r="C137" s="7">
        <v>4.0752351097178681E-2</v>
      </c>
      <c r="D137" s="7">
        <v>4.7388781431334626E-2</v>
      </c>
      <c r="E137" s="7">
        <v>2.6143790849673203E-2</v>
      </c>
      <c r="F137" s="7">
        <v>4.9382716049382713E-2</v>
      </c>
      <c r="G137" s="7">
        <v>6.1983471074380167E-2</v>
      </c>
      <c r="H137" s="7">
        <v>3.6496350364963501E-2</v>
      </c>
      <c r="I137" s="78">
        <v>4.425144747725393E-2</v>
      </c>
    </row>
    <row r="138" spans="2:16" x14ac:dyDescent="0.25">
      <c r="B138" s="17" t="s">
        <v>18</v>
      </c>
      <c r="C138" s="7">
        <v>5.6426332288401257E-2</v>
      </c>
      <c r="D138" s="7">
        <v>6.5764023210831718E-2</v>
      </c>
      <c r="E138" s="7">
        <v>0.10784313725490197</v>
      </c>
      <c r="F138" s="7">
        <v>5.7613168724279837E-2</v>
      </c>
      <c r="G138" s="7">
        <v>0.1115702479338843</v>
      </c>
      <c r="H138" s="7">
        <v>6.569343065693431E-2</v>
      </c>
      <c r="I138" s="78">
        <v>7.3614557485525228E-2</v>
      </c>
    </row>
    <row r="139" spans="2:16" x14ac:dyDescent="0.25">
      <c r="B139" s="17" t="s">
        <v>19</v>
      </c>
      <c r="C139" s="7">
        <v>0</v>
      </c>
      <c r="D139" s="7">
        <v>0</v>
      </c>
      <c r="E139" s="7">
        <v>6.5359477124183009E-3</v>
      </c>
      <c r="F139" s="7">
        <v>0</v>
      </c>
      <c r="G139" s="7">
        <v>0</v>
      </c>
      <c r="H139" s="7">
        <v>0</v>
      </c>
      <c r="I139" s="78">
        <v>8.271298593879239E-4</v>
      </c>
    </row>
    <row r="140" spans="2:16" x14ac:dyDescent="0.25">
      <c r="B140" s="17" t="s">
        <v>20</v>
      </c>
      <c r="C140" s="7">
        <v>0</v>
      </c>
      <c r="D140" s="7">
        <v>9.6711798839458415E-4</v>
      </c>
      <c r="E140" s="7">
        <v>0</v>
      </c>
      <c r="F140" s="7">
        <v>0</v>
      </c>
      <c r="G140" s="7">
        <v>0</v>
      </c>
      <c r="H140" s="7">
        <v>0</v>
      </c>
      <c r="I140" s="78">
        <v>4.1356492969396195E-4</v>
      </c>
    </row>
    <row r="141" spans="2:16" x14ac:dyDescent="0.25">
      <c r="B141" s="17" t="s">
        <v>21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3.6496350364963502E-3</v>
      </c>
      <c r="I141" s="78">
        <v>4.1356492969396195E-4</v>
      </c>
    </row>
    <row r="142" spans="2:16" x14ac:dyDescent="0.25">
      <c r="B142" s="17" t="s">
        <v>22</v>
      </c>
      <c r="C142" s="7">
        <v>0</v>
      </c>
      <c r="D142" s="7">
        <v>1.9342359767891683E-3</v>
      </c>
      <c r="E142" s="7">
        <v>0</v>
      </c>
      <c r="F142" s="7">
        <v>8.23045267489712E-3</v>
      </c>
      <c r="G142" s="7">
        <v>0</v>
      </c>
      <c r="H142" s="7">
        <v>3.6496350364963502E-3</v>
      </c>
      <c r="I142" s="78">
        <v>2.0678246484698098E-3</v>
      </c>
    </row>
    <row r="143" spans="2:16" x14ac:dyDescent="0.25">
      <c r="B143" s="17" t="s">
        <v>9</v>
      </c>
      <c r="C143" s="7">
        <v>0.81191222570532917</v>
      </c>
      <c r="D143" s="7">
        <v>0.79980657640232111</v>
      </c>
      <c r="E143" s="7">
        <v>0.79084967320261434</v>
      </c>
      <c r="F143" s="7">
        <v>0.81893004115226342</v>
      </c>
      <c r="G143" s="7">
        <v>0.73966942148760328</v>
      </c>
      <c r="H143" s="7">
        <v>0.83576642335766427</v>
      </c>
      <c r="I143" s="78">
        <v>0.80024813895781632</v>
      </c>
    </row>
    <row r="144" spans="2:16" x14ac:dyDescent="0.25">
      <c r="B144" s="17" t="s">
        <v>0</v>
      </c>
      <c r="C144" s="7">
        <v>9.0909090909090912E-2</v>
      </c>
      <c r="D144" s="7">
        <v>8.6073500967117994E-2</v>
      </c>
      <c r="E144" s="7">
        <v>6.8627450980392163E-2</v>
      </c>
      <c r="F144" s="7">
        <v>7.407407407407407E-2</v>
      </c>
      <c r="G144" s="7">
        <v>8.6776859504132234E-2</v>
      </c>
      <c r="H144" s="7">
        <v>5.8394160583941604E-2</v>
      </c>
      <c r="I144" s="78">
        <v>8.0231596360628613E-2</v>
      </c>
    </row>
    <row r="145" spans="1:21" x14ac:dyDescent="0.25">
      <c r="A145" s="2" t="e">
        <v>#DIV/0!</v>
      </c>
      <c r="B145" s="2">
        <v>3.9344262295081971E-2</v>
      </c>
      <c r="C145" s="2" t="e">
        <v>#DIV/0!</v>
      </c>
      <c r="D145" s="2">
        <v>4.4397463002114168E-2</v>
      </c>
    </row>
    <row r="146" spans="1:21" x14ac:dyDescent="0.25">
      <c r="A146" s="2" t="e">
        <v>#DIV/0!</v>
      </c>
      <c r="B146" s="2">
        <v>5.2459016393442623E-2</v>
      </c>
      <c r="C146" s="2" t="e">
        <v>#DIV/0!</v>
      </c>
      <c r="D146" s="2">
        <v>7.6532769556025365E-2</v>
      </c>
    </row>
    <row r="147" spans="1:21" x14ac:dyDescent="0.25">
      <c r="A147" s="2" t="e">
        <v>#DIV/0!</v>
      </c>
      <c r="B147" s="2">
        <v>0</v>
      </c>
      <c r="C147" s="2" t="e">
        <v>#DIV/0!</v>
      </c>
      <c r="D147" s="2">
        <v>8.4566596194503166E-4</v>
      </c>
    </row>
    <row r="148" spans="1:21" x14ac:dyDescent="0.25">
      <c r="A148" s="2" t="e">
        <v>#DIV/0!</v>
      </c>
      <c r="B148" s="2">
        <v>0</v>
      </c>
      <c r="C148" s="2" t="e">
        <v>#DIV/0!</v>
      </c>
      <c r="D148" s="2">
        <v>4.2283298097251583E-4</v>
      </c>
    </row>
    <row r="149" spans="1:21" x14ac:dyDescent="0.25">
      <c r="A149" s="2" t="e">
        <v>#DIV/0!</v>
      </c>
      <c r="B149" s="2">
        <v>0</v>
      </c>
      <c r="C149" s="2" t="e">
        <v>#DIV/0!</v>
      </c>
      <c r="D149" s="2">
        <v>4.2283298097251583E-4</v>
      </c>
    </row>
    <row r="150" spans="1:21" x14ac:dyDescent="0.25">
      <c r="A150" s="2" t="e">
        <v>#DIV/0!</v>
      </c>
      <c r="B150" s="2">
        <v>0</v>
      </c>
      <c r="C150" s="2" t="e">
        <v>#DIV/0!</v>
      </c>
      <c r="D150" s="2">
        <v>2.1141649048625794E-3</v>
      </c>
    </row>
    <row r="151" spans="1:21" x14ac:dyDescent="0.25">
      <c r="A151" s="2" t="e">
        <v>#DIV/0!</v>
      </c>
      <c r="B151" s="2">
        <v>0.80327868852459017</v>
      </c>
      <c r="C151" s="2" t="e">
        <v>#DIV/0!</v>
      </c>
      <c r="D151" s="2">
        <v>0.79154334038054963</v>
      </c>
    </row>
    <row r="152" spans="1:21" x14ac:dyDescent="0.25">
      <c r="A152" s="2" t="e">
        <v>#DIV/0!</v>
      </c>
      <c r="B152" s="2">
        <v>0.10491803278688525</v>
      </c>
      <c r="C152" s="2" t="e">
        <v>#DIV/0!</v>
      </c>
      <c r="D152" s="2">
        <v>8.4143763213530662E-2</v>
      </c>
    </row>
    <row r="153" spans="1:21" x14ac:dyDescent="0.25"/>
    <row r="154" spans="1:21" ht="15.75" x14ac:dyDescent="0.25">
      <c r="A154" s="14" t="s">
        <v>45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1:2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</row>
    <row r="156" spans="1:21" x14ac:dyDescent="0.25">
      <c r="B156" s="12" t="s">
        <v>91</v>
      </c>
      <c r="C156" s="12"/>
      <c r="D156" s="12"/>
      <c r="E156" s="12"/>
      <c r="J156" s="12"/>
      <c r="K156" s="12"/>
      <c r="L156" s="12"/>
    </row>
    <row r="157" spans="1:21" x14ac:dyDescent="0.25">
      <c r="B157" s="12"/>
      <c r="C157" s="12"/>
      <c r="D157" s="12"/>
      <c r="E157" s="12"/>
      <c r="J157" s="12"/>
      <c r="K157" s="12"/>
      <c r="L157" s="12"/>
    </row>
    <row r="158" spans="1:21" s="12" customFormat="1" ht="45" x14ac:dyDescent="0.25">
      <c r="A158"/>
      <c r="F158" s="50" t="s">
        <v>105</v>
      </c>
      <c r="G158" s="50" t="s">
        <v>106</v>
      </c>
      <c r="H158" s="50" t="s">
        <v>107</v>
      </c>
      <c r="I158" s="19" t="s">
        <v>108</v>
      </c>
      <c r="J158" s="19" t="s">
        <v>111</v>
      </c>
      <c r="K158" s="19" t="s">
        <v>110</v>
      </c>
      <c r="L158" s="79" t="s">
        <v>1</v>
      </c>
      <c r="M158" s="2" t="s">
        <v>67</v>
      </c>
      <c r="N158" s="2" t="s">
        <v>68</v>
      </c>
      <c r="P158" s="75"/>
      <c r="Q158" s="75"/>
      <c r="R158" s="49"/>
      <c r="S158" s="49"/>
      <c r="T158" s="49"/>
      <c r="U158" s="49"/>
    </row>
    <row r="159" spans="1:21" s="49" customFormat="1" x14ac:dyDescent="0.25">
      <c r="A159"/>
      <c r="B159" s="12"/>
      <c r="C159" s="12"/>
      <c r="D159" s="12"/>
      <c r="E159" s="15" t="s">
        <v>60</v>
      </c>
      <c r="F159" s="27">
        <v>0.30555555555555558</v>
      </c>
      <c r="G159" s="27">
        <v>0.46178343949044587</v>
      </c>
      <c r="H159" s="27">
        <v>0.51200000000000001</v>
      </c>
      <c r="I159" s="27">
        <v>0.46835443037974683</v>
      </c>
      <c r="J159" s="27">
        <v>0.42063492063492064</v>
      </c>
      <c r="K159" s="27">
        <v>0.41860465116279072</v>
      </c>
      <c r="L159" s="87">
        <v>0.44483985765124556</v>
      </c>
      <c r="M159" s="2" t="e">
        <v>#DIV/0!</v>
      </c>
      <c r="N159" s="2" t="e">
        <v>#DIV/0!</v>
      </c>
      <c r="O159" s="2">
        <v>0.29166666666666669</v>
      </c>
      <c r="P159" s="2">
        <v>0.45066991473812423</v>
      </c>
      <c r="Q159" s="74">
        <v>0</v>
      </c>
      <c r="R159" s="31">
        <v>0</v>
      </c>
      <c r="S159" s="31">
        <v>21</v>
      </c>
      <c r="T159" s="49">
        <v>370</v>
      </c>
    </row>
    <row r="160" spans="1:21" s="49" customFormat="1" x14ac:dyDescent="0.25">
      <c r="A160"/>
      <c r="B160" s="12"/>
      <c r="C160" s="12"/>
      <c r="D160" s="12"/>
      <c r="E160" s="15" t="s">
        <v>42</v>
      </c>
      <c r="F160" s="27">
        <v>0.33333333333333331</v>
      </c>
      <c r="G160" s="27">
        <v>0.24522292993630573</v>
      </c>
      <c r="H160" s="27">
        <v>0.2</v>
      </c>
      <c r="I160" s="27">
        <v>0.13924050632911392</v>
      </c>
      <c r="J160" s="27">
        <v>0.18253968253968253</v>
      </c>
      <c r="K160" s="27">
        <v>0.14728682170542637</v>
      </c>
      <c r="L160" s="87">
        <v>0.21233689205219455</v>
      </c>
      <c r="M160" s="2" t="e">
        <v>#DIV/0!</v>
      </c>
      <c r="N160" s="2" t="e">
        <v>#DIV/0!</v>
      </c>
      <c r="O160" s="2">
        <v>0.34722222222222221</v>
      </c>
      <c r="P160" s="2">
        <v>0.21924482338611451</v>
      </c>
      <c r="Q160" s="74">
        <v>0</v>
      </c>
      <c r="R160" s="31">
        <v>0</v>
      </c>
      <c r="S160" s="31">
        <v>25</v>
      </c>
      <c r="T160" s="49">
        <v>180</v>
      </c>
    </row>
    <row r="161" spans="1:20" s="49" customFormat="1" x14ac:dyDescent="0.25">
      <c r="A161"/>
      <c r="B161" s="12"/>
      <c r="C161" s="12"/>
      <c r="D161" s="12"/>
      <c r="E161" s="15" t="s">
        <v>61</v>
      </c>
      <c r="F161" s="27">
        <v>4.1666666666666664E-2</v>
      </c>
      <c r="G161" s="27">
        <v>6.3694267515923567E-2</v>
      </c>
      <c r="H161" s="27">
        <v>7.1999999999999995E-2</v>
      </c>
      <c r="I161" s="27">
        <v>5.0632911392405063E-2</v>
      </c>
      <c r="J161" s="27">
        <v>9.5238095238095233E-2</v>
      </c>
      <c r="K161" s="27">
        <v>3.1007751937984496E-2</v>
      </c>
      <c r="L161" s="87">
        <v>6.1684460260972719E-2</v>
      </c>
      <c r="M161" s="2" t="e">
        <v>#DIV/0!</v>
      </c>
      <c r="N161" s="2" t="e">
        <v>#DIV/0!</v>
      </c>
      <c r="O161" s="2">
        <v>2.7777777777777776E-2</v>
      </c>
      <c r="P161" s="2">
        <v>4.6285018270401948E-2</v>
      </c>
      <c r="Q161" s="74">
        <v>0</v>
      </c>
      <c r="R161" s="31">
        <v>0</v>
      </c>
      <c r="S161" s="31">
        <v>2</v>
      </c>
      <c r="T161" s="49">
        <v>38</v>
      </c>
    </row>
    <row r="162" spans="1:20" s="49" customFormat="1" x14ac:dyDescent="0.25">
      <c r="A162"/>
      <c r="B162" s="12"/>
      <c r="C162" s="12"/>
      <c r="D162" s="12"/>
      <c r="E162" s="15" t="s">
        <v>62</v>
      </c>
      <c r="F162" s="27">
        <v>2.7777777777777776E-2</v>
      </c>
      <c r="G162" s="27">
        <v>2.8662420382165606E-2</v>
      </c>
      <c r="H162" s="27">
        <v>1.6E-2</v>
      </c>
      <c r="I162" s="27">
        <v>0</v>
      </c>
      <c r="J162" s="27">
        <v>1.5873015873015872E-2</v>
      </c>
      <c r="K162" s="27">
        <v>0.14728682170542637</v>
      </c>
      <c r="L162" s="87">
        <v>4.0332147093712932E-2</v>
      </c>
      <c r="M162" s="2" t="e">
        <v>#DIV/0!</v>
      </c>
      <c r="N162" s="2" t="e">
        <v>#DIV/0!</v>
      </c>
      <c r="O162" s="2">
        <v>4.1666666666666664E-2</v>
      </c>
      <c r="P162" s="2">
        <v>4.2630937880633372E-2</v>
      </c>
      <c r="Q162" s="74">
        <v>0</v>
      </c>
      <c r="R162" s="31">
        <v>0</v>
      </c>
      <c r="S162" s="31">
        <v>3</v>
      </c>
      <c r="T162" s="49">
        <v>35</v>
      </c>
    </row>
    <row r="163" spans="1:20" s="49" customFormat="1" x14ac:dyDescent="0.25">
      <c r="A163"/>
      <c r="B163" s="12"/>
      <c r="C163" s="12"/>
      <c r="D163" s="12"/>
      <c r="E163" s="15" t="s">
        <v>43</v>
      </c>
      <c r="F163" s="27">
        <v>0.29166666666666669</v>
      </c>
      <c r="G163" s="27">
        <v>0.20063694267515925</v>
      </c>
      <c r="H163" s="27">
        <v>0.2</v>
      </c>
      <c r="I163" s="27">
        <v>0.34177215189873417</v>
      </c>
      <c r="J163" s="27">
        <v>0.2857142857142857</v>
      </c>
      <c r="K163" s="27">
        <v>0.2558139534883721</v>
      </c>
      <c r="L163" s="87">
        <v>0.2431791221826809</v>
      </c>
      <c r="M163" s="2" t="e">
        <v>#DIV/0!</v>
      </c>
      <c r="N163" s="2" t="e">
        <v>#DIV/0!</v>
      </c>
      <c r="O163" s="2">
        <v>0.29166666666666669</v>
      </c>
      <c r="P163" s="2">
        <v>0.243605359317905</v>
      </c>
      <c r="Q163" s="74">
        <v>0</v>
      </c>
      <c r="R163" s="31">
        <v>0</v>
      </c>
      <c r="S163" s="31">
        <v>21</v>
      </c>
      <c r="T163" s="49">
        <v>200</v>
      </c>
    </row>
    <row r="164" spans="1:20" s="2" customFormat="1" x14ac:dyDescent="0.25">
      <c r="A164"/>
      <c r="B164"/>
      <c r="C164"/>
      <c r="D164"/>
      <c r="E164"/>
      <c r="F164" s="95"/>
      <c r="G164" s="95"/>
      <c r="H164" s="95"/>
      <c r="I164" s="95"/>
      <c r="J164" s="3"/>
      <c r="K164" s="3"/>
      <c r="L164" s="96"/>
    </row>
    <row r="165" spans="1:20" s="2" customFormat="1" x14ac:dyDescent="0.25">
      <c r="A165"/>
      <c r="B165"/>
      <c r="C165"/>
      <c r="D165"/>
      <c r="E165" s="4" t="s">
        <v>93</v>
      </c>
      <c r="F165" s="97">
        <v>88.27</v>
      </c>
      <c r="G165" s="97">
        <v>77.52</v>
      </c>
      <c r="H165" s="97">
        <v>63.18</v>
      </c>
      <c r="I165" s="97">
        <v>94</v>
      </c>
      <c r="J165" s="97">
        <v>72.099999999999994</v>
      </c>
      <c r="K165" s="97">
        <v>56.9</v>
      </c>
      <c r="L165" s="98">
        <v>74.59</v>
      </c>
    </row>
    <row r="166" spans="1:20" s="2" customFormat="1" x14ac:dyDescent="0.25">
      <c r="A166"/>
      <c r="B166"/>
      <c r="C166" s="18"/>
      <c r="D166"/>
      <c r="E166"/>
      <c r="F166" s="95" t="e">
        <v>#DIV/0!</v>
      </c>
      <c r="G166" s="95">
        <v>93.425925925925924</v>
      </c>
      <c r="H166" s="3"/>
      <c r="I166" s="95" t="e">
        <v>#DIV/0!</v>
      </c>
      <c r="J166" s="95">
        <v>73.731922398589063</v>
      </c>
      <c r="K166" s="3"/>
      <c r="L166" s="96"/>
    </row>
    <row r="167" spans="1:20" s="2" customFormat="1" x14ac:dyDescent="0.25">
      <c r="A167"/>
      <c r="B167"/>
      <c r="C167" s="18"/>
      <c r="D167"/>
      <c r="E167"/>
      <c r="F167" s="95"/>
      <c r="G167" s="95"/>
      <c r="H167" s="3"/>
      <c r="I167" s="95"/>
      <c r="J167" s="95"/>
      <c r="K167" s="3"/>
      <c r="L167" s="96"/>
    </row>
    <row r="168" spans="1:20" s="2" customFormat="1" x14ac:dyDescent="0.25">
      <c r="A168"/>
      <c r="B168" s="12" t="s">
        <v>92</v>
      </c>
      <c r="C168" s="12"/>
      <c r="D168" s="12"/>
      <c r="E168" s="12"/>
      <c r="F168" s="3"/>
      <c r="G168" s="95"/>
      <c r="H168" s="3"/>
      <c r="I168" s="95"/>
      <c r="J168" s="95"/>
      <c r="K168" s="3"/>
      <c r="L168" s="96"/>
    </row>
    <row r="169" spans="1:20" s="2" customFormat="1" x14ac:dyDescent="0.25">
      <c r="A169"/>
      <c r="B169" s="12"/>
      <c r="C169" s="12"/>
      <c r="D169" s="12"/>
      <c r="E169" s="12"/>
      <c r="F169" s="3"/>
      <c r="G169" s="95"/>
      <c r="H169" s="3"/>
      <c r="I169" s="95"/>
      <c r="J169" s="95"/>
      <c r="K169" s="3"/>
      <c r="L169" s="96"/>
    </row>
    <row r="170" spans="1:20" s="2" customFormat="1" ht="45" customHeight="1" x14ac:dyDescent="0.25">
      <c r="A170"/>
      <c r="B170" s="12"/>
      <c r="C170" s="12"/>
      <c r="D170" s="12"/>
      <c r="E170" s="12"/>
      <c r="F170" s="50" t="s">
        <v>105</v>
      </c>
      <c r="G170" s="50" t="s">
        <v>106</v>
      </c>
      <c r="H170" s="50" t="s">
        <v>107</v>
      </c>
      <c r="I170" s="19" t="s">
        <v>108</v>
      </c>
      <c r="J170" s="19" t="s">
        <v>111</v>
      </c>
      <c r="K170" s="19" t="s">
        <v>110</v>
      </c>
      <c r="L170" s="79" t="s">
        <v>1</v>
      </c>
      <c r="M170"/>
      <c r="P170"/>
    </row>
    <row r="171" spans="1:20" s="2" customFormat="1" x14ac:dyDescent="0.25">
      <c r="A171"/>
      <c r="B171" s="12"/>
      <c r="C171" s="12"/>
      <c r="D171" s="12"/>
      <c r="E171" s="15" t="s">
        <v>60</v>
      </c>
      <c r="F171" s="27">
        <v>0.34545454545454546</v>
      </c>
      <c r="G171" s="27">
        <v>0.55021834061135366</v>
      </c>
      <c r="H171" s="27">
        <v>0.53333333333333333</v>
      </c>
      <c r="I171" s="27">
        <v>0.54716981132075471</v>
      </c>
      <c r="J171" s="27">
        <v>0.49382716049382713</v>
      </c>
      <c r="K171" s="27">
        <v>0.50724637681159424</v>
      </c>
      <c r="L171" s="87">
        <v>0.515625</v>
      </c>
      <c r="M171" s="2" t="e">
        <v>#DIV/0!</v>
      </c>
      <c r="N171" s="2" t="e">
        <v>#DIV/0!</v>
      </c>
      <c r="O171" s="2">
        <v>0.35185185185185186</v>
      </c>
      <c r="P171" s="2">
        <v>0.53003533568904593</v>
      </c>
      <c r="Q171" s="72">
        <v>0</v>
      </c>
      <c r="R171" s="2">
        <v>0</v>
      </c>
      <c r="S171" s="2">
        <v>19</v>
      </c>
      <c r="T171" s="2">
        <v>300</v>
      </c>
    </row>
    <row r="172" spans="1:20" s="2" customFormat="1" x14ac:dyDescent="0.25">
      <c r="A172"/>
      <c r="B172" s="12"/>
      <c r="C172" s="12"/>
      <c r="D172" s="12"/>
      <c r="E172" s="15" t="s">
        <v>42</v>
      </c>
      <c r="F172" s="27">
        <v>0.32727272727272727</v>
      </c>
      <c r="G172" s="27">
        <v>0.20087336244541484</v>
      </c>
      <c r="H172" s="27">
        <v>0.21111111111111111</v>
      </c>
      <c r="I172" s="27">
        <v>0.11320754716981132</v>
      </c>
      <c r="J172" s="27">
        <v>0.14814814814814814</v>
      </c>
      <c r="K172" s="27">
        <v>0.15942028985507245</v>
      </c>
      <c r="L172" s="87">
        <v>0.19444444444444445</v>
      </c>
      <c r="M172" s="2" t="e">
        <v>#DIV/0!</v>
      </c>
      <c r="N172" s="2" t="e">
        <v>#DIV/0!</v>
      </c>
      <c r="O172" s="2">
        <v>0.35185185185185186</v>
      </c>
      <c r="P172" s="2">
        <v>0.19257950530035337</v>
      </c>
      <c r="Q172" s="72">
        <v>0</v>
      </c>
      <c r="R172" s="2">
        <v>0</v>
      </c>
      <c r="S172" s="2">
        <v>19</v>
      </c>
      <c r="T172" s="2">
        <v>109</v>
      </c>
    </row>
    <row r="173" spans="1:20" s="2" customFormat="1" x14ac:dyDescent="0.25">
      <c r="A173"/>
      <c r="B173" s="12"/>
      <c r="C173" s="12"/>
      <c r="D173" s="12"/>
      <c r="E173" s="15" t="s">
        <v>61</v>
      </c>
      <c r="F173" s="27">
        <v>5.4545454545454543E-2</v>
      </c>
      <c r="G173" s="27">
        <v>5.2401746724890827E-2</v>
      </c>
      <c r="H173" s="27">
        <v>6.6666666666666666E-2</v>
      </c>
      <c r="I173" s="27">
        <v>5.6603773584905662E-2</v>
      </c>
      <c r="J173" s="27">
        <v>0.1111111111111111</v>
      </c>
      <c r="K173" s="27">
        <v>1.4492753623188406E-2</v>
      </c>
      <c r="L173" s="87">
        <v>5.9027777777777776E-2</v>
      </c>
      <c r="M173" s="2" t="e">
        <v>#DIV/0!</v>
      </c>
      <c r="N173" s="2" t="e">
        <v>#DIV/0!</v>
      </c>
      <c r="O173" s="2">
        <v>3.7037037037037035E-2</v>
      </c>
      <c r="P173" s="2">
        <v>5.4770318021201414E-2</v>
      </c>
      <c r="Q173" s="72">
        <v>0</v>
      </c>
      <c r="R173" s="2">
        <v>0</v>
      </c>
      <c r="S173" s="2">
        <v>2</v>
      </c>
      <c r="T173" s="2">
        <v>31</v>
      </c>
    </row>
    <row r="174" spans="1:20" s="2" customFormat="1" x14ac:dyDescent="0.25">
      <c r="A174"/>
      <c r="B174" s="12"/>
      <c r="C174" s="12"/>
      <c r="D174" s="12"/>
      <c r="E174" s="15" t="s">
        <v>62</v>
      </c>
      <c r="F174" s="27">
        <v>3.6363636363636362E-2</v>
      </c>
      <c r="G174" s="27">
        <v>2.6200873362445413E-2</v>
      </c>
      <c r="H174" s="27">
        <v>2.2222222222222223E-2</v>
      </c>
      <c r="I174" s="27">
        <v>0</v>
      </c>
      <c r="J174" s="27">
        <v>1.2345679012345678E-2</v>
      </c>
      <c r="K174" s="27">
        <v>0.10144927536231885</v>
      </c>
      <c r="L174" s="87">
        <v>3.125E-2</v>
      </c>
      <c r="M174" s="2" t="e">
        <v>#DIV/0!</v>
      </c>
      <c r="N174" s="2" t="e">
        <v>#DIV/0!</v>
      </c>
      <c r="O174" s="2">
        <v>5.5555555555555552E-2</v>
      </c>
      <c r="P174" s="2">
        <v>3.3568904593639579E-2</v>
      </c>
      <c r="Q174" s="72">
        <v>0</v>
      </c>
      <c r="R174" s="2">
        <v>0</v>
      </c>
      <c r="S174" s="2">
        <v>3</v>
      </c>
      <c r="T174" s="2">
        <v>19</v>
      </c>
    </row>
    <row r="175" spans="1:20" s="2" customFormat="1" x14ac:dyDescent="0.25">
      <c r="A175"/>
      <c r="B175" s="12"/>
      <c r="C175" s="12"/>
      <c r="D175" s="12"/>
      <c r="E175" s="15" t="s">
        <v>43</v>
      </c>
      <c r="F175" s="27">
        <v>0.23636363636363636</v>
      </c>
      <c r="G175" s="27">
        <v>0.1703056768558952</v>
      </c>
      <c r="H175" s="27">
        <v>0.16666666666666666</v>
      </c>
      <c r="I175" s="27">
        <v>0.28301886792452829</v>
      </c>
      <c r="J175" s="27">
        <v>0.23456790123456789</v>
      </c>
      <c r="K175" s="27">
        <v>0.21739130434782608</v>
      </c>
      <c r="L175" s="87">
        <v>0.2013888888888889</v>
      </c>
      <c r="M175" s="2" t="e">
        <v>#DIV/0!</v>
      </c>
      <c r="N175" s="2" t="e">
        <v>#DIV/0!</v>
      </c>
      <c r="O175" s="2">
        <v>0.20370370370370369</v>
      </c>
      <c r="P175" s="2">
        <v>0.19081272084805653</v>
      </c>
      <c r="Q175" s="72">
        <v>0</v>
      </c>
      <c r="R175" s="2">
        <v>0</v>
      </c>
      <c r="S175" s="2">
        <v>11</v>
      </c>
      <c r="T175" s="2">
        <v>108</v>
      </c>
    </row>
    <row r="176" spans="1:20" x14ac:dyDescent="0.25">
      <c r="A176" s="67"/>
      <c r="C176" s="18"/>
      <c r="F176" s="3"/>
      <c r="G176" s="3"/>
      <c r="H176" s="3"/>
      <c r="I176" s="3"/>
      <c r="J176" s="3"/>
      <c r="K176" s="3"/>
      <c r="L176" s="99"/>
    </row>
    <row r="177" spans="2:20" x14ac:dyDescent="0.25">
      <c r="C177" s="18"/>
      <c r="F177" s="3"/>
      <c r="G177" s="3"/>
      <c r="H177" s="3"/>
      <c r="I177" s="3"/>
      <c r="J177" s="3"/>
      <c r="K177" s="3"/>
      <c r="L177" s="99"/>
    </row>
    <row r="178" spans="2:20" x14ac:dyDescent="0.25">
      <c r="B178" s="12" t="s">
        <v>47</v>
      </c>
      <c r="C178" s="12"/>
      <c r="D178" s="12"/>
      <c r="E178" s="12"/>
      <c r="F178" s="3"/>
      <c r="G178" s="3"/>
      <c r="H178" s="3"/>
      <c r="I178" s="3"/>
      <c r="J178" s="3"/>
      <c r="K178" s="3"/>
      <c r="L178" s="99"/>
    </row>
    <row r="179" spans="2:20" ht="4.5" customHeight="1" x14ac:dyDescent="0.25">
      <c r="B179" s="12"/>
      <c r="C179" s="12"/>
      <c r="D179" s="12"/>
      <c r="E179" s="12"/>
      <c r="F179" s="3"/>
      <c r="G179" s="3"/>
      <c r="H179" s="3"/>
      <c r="I179" s="3"/>
      <c r="J179" s="3"/>
      <c r="K179" s="3"/>
      <c r="L179" s="99"/>
    </row>
    <row r="180" spans="2:20" ht="45" x14ac:dyDescent="0.25">
      <c r="B180" s="12"/>
      <c r="E180" s="12"/>
      <c r="F180" s="50" t="s">
        <v>105</v>
      </c>
      <c r="G180" s="50" t="s">
        <v>106</v>
      </c>
      <c r="H180" s="50" t="s">
        <v>107</v>
      </c>
      <c r="I180" s="19" t="s">
        <v>108</v>
      </c>
      <c r="J180" s="19" t="s">
        <v>111</v>
      </c>
      <c r="K180" s="19" t="s">
        <v>110</v>
      </c>
      <c r="L180" s="79" t="s">
        <v>1</v>
      </c>
      <c r="P180" s="2"/>
      <c r="Q180" s="2"/>
      <c r="R180" s="2"/>
      <c r="S180" s="2"/>
      <c r="T180" s="2"/>
    </row>
    <row r="181" spans="2:20" x14ac:dyDescent="0.25">
      <c r="B181" s="12"/>
      <c r="E181" s="15" t="s">
        <v>66</v>
      </c>
      <c r="F181" s="27">
        <v>0.13636363636363635</v>
      </c>
      <c r="G181" s="27">
        <v>0.04</v>
      </c>
      <c r="H181" s="27">
        <v>6.8965517241379309E-2</v>
      </c>
      <c r="I181" s="27">
        <v>0.1875</v>
      </c>
      <c r="J181" s="27">
        <v>0</v>
      </c>
      <c r="K181" s="27">
        <v>3.8461538461538464E-2</v>
      </c>
      <c r="L181" s="87">
        <v>7.1895424836601302E-2</v>
      </c>
      <c r="M181" s="32" t="e">
        <v>#DIV/0!</v>
      </c>
      <c r="N181" s="32">
        <v>0.13636363636363635</v>
      </c>
      <c r="O181" s="32" t="e">
        <v>#DIV/0!</v>
      </c>
      <c r="P181" s="32">
        <v>7.3333333333333334E-2</v>
      </c>
      <c r="Q181" s="2">
        <v>0</v>
      </c>
      <c r="R181" s="2">
        <v>3</v>
      </c>
      <c r="S181" s="2">
        <v>0</v>
      </c>
      <c r="T181" s="2">
        <v>11</v>
      </c>
    </row>
    <row r="182" spans="2:20" x14ac:dyDescent="0.25">
      <c r="B182" s="12"/>
      <c r="E182" s="15" t="s">
        <v>42</v>
      </c>
      <c r="F182" s="27">
        <v>0.54545454545454541</v>
      </c>
      <c r="G182" s="27">
        <v>0.74</v>
      </c>
      <c r="H182" s="27">
        <v>0.65517241379310343</v>
      </c>
      <c r="I182" s="27">
        <v>0.625</v>
      </c>
      <c r="J182" s="27">
        <v>0.9</v>
      </c>
      <c r="K182" s="27">
        <v>0.73076923076923073</v>
      </c>
      <c r="L182" s="87">
        <v>0.69281045751633985</v>
      </c>
      <c r="M182" s="32" t="e">
        <v>#DIV/0!</v>
      </c>
      <c r="N182" s="32">
        <v>0.54545454545454541</v>
      </c>
      <c r="O182" s="32" t="e">
        <v>#DIV/0!</v>
      </c>
      <c r="P182" s="32">
        <v>0.68666666666666665</v>
      </c>
      <c r="Q182" s="2">
        <v>0</v>
      </c>
      <c r="R182" s="2">
        <v>12</v>
      </c>
      <c r="S182" s="2">
        <v>0</v>
      </c>
      <c r="T182" s="2">
        <v>103</v>
      </c>
    </row>
    <row r="183" spans="2:20" x14ac:dyDescent="0.25">
      <c r="B183" s="12"/>
      <c r="E183" s="15" t="s">
        <v>65</v>
      </c>
      <c r="F183" s="27">
        <v>0</v>
      </c>
      <c r="G183" s="27">
        <v>0.08</v>
      </c>
      <c r="H183" s="27">
        <v>0.13793103448275862</v>
      </c>
      <c r="I183" s="27">
        <v>0</v>
      </c>
      <c r="J183" s="27">
        <v>0</v>
      </c>
      <c r="K183" s="27">
        <v>0.11538461538461539</v>
      </c>
      <c r="L183" s="87">
        <v>7.1895424836601302E-2</v>
      </c>
      <c r="M183" s="32" t="e">
        <v>#DIV/0!</v>
      </c>
      <c r="N183" s="32">
        <v>0</v>
      </c>
      <c r="O183" s="32" t="e">
        <v>#DIV/0!</v>
      </c>
      <c r="P183" s="32">
        <v>7.3333333333333334E-2</v>
      </c>
      <c r="Q183" s="2">
        <v>0</v>
      </c>
      <c r="R183" s="2">
        <v>0</v>
      </c>
      <c r="S183" s="2">
        <v>0</v>
      </c>
      <c r="T183" s="2">
        <v>11</v>
      </c>
    </row>
    <row r="184" spans="2:20" x14ac:dyDescent="0.25">
      <c r="B184" s="12"/>
      <c r="E184" s="15" t="s">
        <v>48</v>
      </c>
      <c r="F184" s="27">
        <v>0.22727272727272727</v>
      </c>
      <c r="G184" s="27">
        <v>0</v>
      </c>
      <c r="H184" s="27">
        <v>3.4482758620689655E-2</v>
      </c>
      <c r="I184" s="27">
        <v>0</v>
      </c>
      <c r="J184" s="27">
        <v>0</v>
      </c>
      <c r="K184" s="27">
        <v>0</v>
      </c>
      <c r="L184" s="87">
        <v>3.9215686274509803E-2</v>
      </c>
      <c r="M184" s="32" t="e">
        <v>#DIV/0!</v>
      </c>
      <c r="N184" s="32">
        <v>0.22727272727272727</v>
      </c>
      <c r="O184" s="32" t="e">
        <v>#DIV/0!</v>
      </c>
      <c r="P184" s="32">
        <v>0.04</v>
      </c>
      <c r="Q184" s="2">
        <v>0</v>
      </c>
      <c r="R184" s="2">
        <v>5</v>
      </c>
      <c r="S184" s="2">
        <v>0</v>
      </c>
      <c r="T184" s="2">
        <v>6</v>
      </c>
    </row>
    <row r="185" spans="2:20" x14ac:dyDescent="0.25">
      <c r="B185" s="12"/>
      <c r="E185" s="15" t="s">
        <v>43</v>
      </c>
      <c r="F185" s="27">
        <v>9.0909090909090939E-2</v>
      </c>
      <c r="G185" s="27">
        <v>0.14000000000000001</v>
      </c>
      <c r="H185" s="27">
        <v>0.10344827586206906</v>
      </c>
      <c r="I185" s="27">
        <v>0.1875</v>
      </c>
      <c r="J185" s="27">
        <v>9.9999999999999978E-2</v>
      </c>
      <c r="K185" s="27">
        <v>0.11538461538461542</v>
      </c>
      <c r="L185" s="87">
        <v>0.12418300653594783</v>
      </c>
      <c r="M185" s="32" t="e">
        <v>#DIV/0!</v>
      </c>
      <c r="N185" s="32">
        <v>0</v>
      </c>
      <c r="O185" s="32" t="e">
        <v>#DIV/0!</v>
      </c>
      <c r="P185" s="32">
        <v>0</v>
      </c>
      <c r="Q185" s="2">
        <v>0</v>
      </c>
      <c r="R185" s="2">
        <v>2</v>
      </c>
      <c r="S185" s="2">
        <v>0</v>
      </c>
      <c r="T185" s="2">
        <v>19</v>
      </c>
    </row>
    <row r="186" spans="2:20" x14ac:dyDescent="0.25">
      <c r="B186" s="12"/>
      <c r="D186" s="15"/>
      <c r="E186" s="12"/>
      <c r="F186" s="75"/>
      <c r="G186" s="95"/>
      <c r="H186" s="95"/>
      <c r="I186" s="95"/>
      <c r="J186" s="95"/>
      <c r="K186" s="3"/>
      <c r="L186" s="96"/>
      <c r="M186" s="2"/>
      <c r="N186" s="2"/>
      <c r="O186" s="2"/>
      <c r="P186" s="2"/>
    </row>
    <row r="187" spans="2:20" ht="6" customHeight="1" x14ac:dyDescent="0.25">
      <c r="F187" s="3"/>
      <c r="G187" s="95"/>
      <c r="H187" s="95"/>
      <c r="I187" s="95"/>
      <c r="J187" s="95"/>
      <c r="K187" s="3"/>
      <c r="L187" s="99"/>
    </row>
    <row r="188" spans="2:20" x14ac:dyDescent="0.25">
      <c r="B188" s="12" t="s">
        <v>53</v>
      </c>
      <c r="C188" s="12"/>
      <c r="D188" s="12"/>
      <c r="E188" s="12"/>
      <c r="F188" s="3"/>
      <c r="G188" s="95"/>
      <c r="H188" s="95"/>
      <c r="I188" s="95"/>
      <c r="J188" s="95"/>
      <c r="K188" s="3"/>
      <c r="L188" s="99"/>
    </row>
    <row r="189" spans="2:20" ht="5.25" customHeight="1" x14ac:dyDescent="0.25">
      <c r="B189" s="12"/>
      <c r="C189" s="12"/>
      <c r="D189" s="12"/>
      <c r="E189" s="12"/>
      <c r="F189" s="3"/>
      <c r="G189" s="95"/>
      <c r="H189" s="95"/>
      <c r="I189" s="95"/>
      <c r="J189" s="95"/>
      <c r="K189" s="3"/>
      <c r="L189" s="99"/>
    </row>
    <row r="190" spans="2:20" ht="45" x14ac:dyDescent="0.25">
      <c r="B190" s="12"/>
      <c r="E190" s="12"/>
      <c r="F190" s="50" t="s">
        <v>105</v>
      </c>
      <c r="G190" s="50" t="s">
        <v>106</v>
      </c>
      <c r="H190" s="50" t="s">
        <v>107</v>
      </c>
      <c r="I190" s="19" t="s">
        <v>108</v>
      </c>
      <c r="J190" s="19" t="s">
        <v>111</v>
      </c>
      <c r="K190" s="19" t="s">
        <v>110</v>
      </c>
      <c r="L190" s="79" t="s">
        <v>1</v>
      </c>
      <c r="M190" s="2"/>
      <c r="N190" s="2"/>
    </row>
    <row r="191" spans="2:20" x14ac:dyDescent="0.25">
      <c r="B191" s="12"/>
      <c r="E191" s="15" t="s">
        <v>49</v>
      </c>
      <c r="F191" s="27">
        <v>0.13636363636363635</v>
      </c>
      <c r="G191" s="27">
        <v>0.2</v>
      </c>
      <c r="H191" s="27">
        <v>0.2413793103448276</v>
      </c>
      <c r="I191" s="27">
        <v>6.25E-2</v>
      </c>
      <c r="J191" s="27">
        <v>0.2</v>
      </c>
      <c r="K191" s="27">
        <v>3.8461538461538464E-2</v>
      </c>
      <c r="L191" s="87">
        <v>0.15584415584415584</v>
      </c>
      <c r="M191" s="32" t="e">
        <v>#DIV/0!</v>
      </c>
      <c r="N191" s="32">
        <v>0.27272727272727271</v>
      </c>
      <c r="O191" s="32" t="e">
        <v>#DIV/0!</v>
      </c>
      <c r="P191" s="32">
        <v>0.23300970873786409</v>
      </c>
      <c r="Q191" s="2">
        <v>0</v>
      </c>
      <c r="R191" s="2">
        <v>3</v>
      </c>
      <c r="S191" s="2">
        <v>0</v>
      </c>
      <c r="T191" s="2">
        <v>24</v>
      </c>
    </row>
    <row r="192" spans="2:20" x14ac:dyDescent="0.25">
      <c r="B192" s="12"/>
      <c r="E192" s="15" t="s">
        <v>63</v>
      </c>
      <c r="F192" s="27">
        <v>0.27272727272727271</v>
      </c>
      <c r="G192" s="27">
        <v>0.1</v>
      </c>
      <c r="H192" s="27">
        <v>0.20689655172413793</v>
      </c>
      <c r="I192" s="27">
        <v>0.25</v>
      </c>
      <c r="J192" s="27">
        <v>0</v>
      </c>
      <c r="K192" s="27">
        <v>7.6923076923076927E-2</v>
      </c>
      <c r="L192" s="87">
        <v>0.14935064935064934</v>
      </c>
      <c r="M192" s="32" t="e">
        <v>#DIV/0!</v>
      </c>
      <c r="N192" s="32">
        <v>0.54545454545454541</v>
      </c>
      <c r="O192" s="32" t="e">
        <v>#DIV/0!</v>
      </c>
      <c r="P192" s="32">
        <v>0.21359223300970873</v>
      </c>
      <c r="Q192" s="2">
        <v>0</v>
      </c>
      <c r="R192" s="2">
        <v>6</v>
      </c>
      <c r="S192" s="2">
        <v>0</v>
      </c>
      <c r="T192" s="2">
        <v>22</v>
      </c>
    </row>
    <row r="193" spans="1:20" x14ac:dyDescent="0.25">
      <c r="B193" s="12"/>
      <c r="E193" s="15" t="s">
        <v>66</v>
      </c>
      <c r="F193" s="27">
        <v>4.5454545454545456E-2</v>
      </c>
      <c r="G193" s="27">
        <v>0.1</v>
      </c>
      <c r="H193" s="27">
        <v>0.20689655172413793</v>
      </c>
      <c r="I193" s="27">
        <v>0.125</v>
      </c>
      <c r="J193" s="27">
        <v>0.1</v>
      </c>
      <c r="K193" s="27">
        <v>0.26923076923076922</v>
      </c>
      <c r="L193" s="87">
        <v>0.14285714285714285</v>
      </c>
      <c r="M193" s="32" t="e">
        <v>#DIV/0!</v>
      </c>
      <c r="N193" s="32">
        <v>9.0909090909090912E-2</v>
      </c>
      <c r="O193" s="32" t="e">
        <v>#DIV/0!</v>
      </c>
      <c r="P193" s="32">
        <v>0.21359223300970873</v>
      </c>
      <c r="Q193" s="2">
        <v>0</v>
      </c>
      <c r="R193" s="2">
        <v>1</v>
      </c>
      <c r="S193" s="2">
        <v>0</v>
      </c>
      <c r="T193" s="2">
        <v>22</v>
      </c>
    </row>
    <row r="194" spans="1:20" x14ac:dyDescent="0.25">
      <c r="B194" s="12"/>
      <c r="E194" s="15" t="s">
        <v>64</v>
      </c>
      <c r="F194" s="27">
        <v>0</v>
      </c>
      <c r="G194" s="27">
        <v>0.14000000000000001</v>
      </c>
      <c r="H194" s="27">
        <v>3.4482758620689655E-2</v>
      </c>
      <c r="I194" s="27">
        <v>0.25</v>
      </c>
      <c r="J194" s="27">
        <v>0.1</v>
      </c>
      <c r="K194" s="27">
        <v>0</v>
      </c>
      <c r="L194" s="87">
        <v>8.4415584415584416E-2</v>
      </c>
      <c r="M194" s="32" t="e">
        <v>#DIV/0!</v>
      </c>
      <c r="N194" s="32">
        <v>0</v>
      </c>
      <c r="O194" s="32" t="e">
        <v>#DIV/0!</v>
      </c>
      <c r="P194" s="32">
        <v>0.12621359223300971</v>
      </c>
      <c r="Q194" s="2">
        <v>0</v>
      </c>
      <c r="R194" s="2">
        <v>0</v>
      </c>
      <c r="S194" s="2">
        <v>0</v>
      </c>
      <c r="T194" s="2">
        <v>13</v>
      </c>
    </row>
    <row r="195" spans="1:20" x14ac:dyDescent="0.25">
      <c r="B195" s="12"/>
      <c r="E195" s="15" t="s">
        <v>43</v>
      </c>
      <c r="F195" s="27">
        <v>0.54545454545454541</v>
      </c>
      <c r="G195" s="27">
        <v>0.45999999999999996</v>
      </c>
      <c r="H195" s="27">
        <v>0.31034482758620696</v>
      </c>
      <c r="I195" s="27">
        <v>0.3125</v>
      </c>
      <c r="J195" s="27">
        <v>0.6</v>
      </c>
      <c r="K195" s="27">
        <v>0.61538461538461542</v>
      </c>
      <c r="L195" s="87">
        <v>0.46753246753246758</v>
      </c>
      <c r="M195" s="32" t="e">
        <v>#DIV/0!</v>
      </c>
      <c r="N195" s="32">
        <v>0</v>
      </c>
      <c r="O195" s="32" t="e">
        <v>#DIV/0!</v>
      </c>
      <c r="P195" s="32">
        <v>0</v>
      </c>
      <c r="Q195" s="2">
        <v>0</v>
      </c>
      <c r="R195" s="2">
        <v>1</v>
      </c>
      <c r="S195" s="2">
        <v>0</v>
      </c>
      <c r="T195" s="2">
        <v>22</v>
      </c>
    </row>
    <row r="196" spans="1:20" x14ac:dyDescent="0.25">
      <c r="B196" s="12"/>
      <c r="D196" s="15"/>
      <c r="E196" s="12"/>
      <c r="F196" s="75"/>
      <c r="G196" s="3"/>
      <c r="H196" s="3"/>
      <c r="I196" s="3"/>
      <c r="J196" s="3"/>
      <c r="K196" s="3"/>
      <c r="L196" s="99"/>
      <c r="M196" s="2"/>
      <c r="N196" s="2"/>
      <c r="O196" s="2"/>
      <c r="P196" s="2"/>
    </row>
    <row r="197" spans="1:20" hidden="1" x14ac:dyDescent="0.25">
      <c r="E197" s="4" t="s">
        <v>46</v>
      </c>
      <c r="F197" s="100"/>
      <c r="G197" s="3"/>
      <c r="H197" s="101"/>
      <c r="I197" s="100"/>
      <c r="J197" s="3"/>
      <c r="K197" s="3"/>
      <c r="L197" s="99"/>
    </row>
    <row r="198" spans="1:20" hidden="1" x14ac:dyDescent="0.25">
      <c r="F198" s="95"/>
      <c r="G198" s="95"/>
      <c r="H198" s="3"/>
      <c r="I198" s="95"/>
      <c r="J198" s="95"/>
      <c r="K198" s="3"/>
      <c r="L198" s="99"/>
    </row>
    <row r="199" spans="1:20" ht="33" customHeight="1" x14ac:dyDescent="0.25">
      <c r="A199" s="121" t="s">
        <v>101</v>
      </c>
      <c r="B199" s="121"/>
      <c r="C199" s="121"/>
      <c r="D199" s="121"/>
      <c r="E199" s="122"/>
      <c r="F199" s="27">
        <v>0.4890282131661442</v>
      </c>
      <c r="G199" s="27">
        <v>0.43907156673114117</v>
      </c>
      <c r="H199" s="27">
        <v>0.39215686274509803</v>
      </c>
      <c r="I199" s="27">
        <v>0.46502057613168724</v>
      </c>
      <c r="J199" s="27">
        <v>0.45041322314049587</v>
      </c>
      <c r="K199" s="27">
        <v>0.43795620437956206</v>
      </c>
      <c r="L199" s="87">
        <v>0.44334160463192723</v>
      </c>
      <c r="O199" s="80"/>
    </row>
    <row r="200" spans="1:20" ht="6.95" customHeight="1" x14ac:dyDescent="0.25">
      <c r="F200" s="95" t="e">
        <v>#REF!</v>
      </c>
      <c r="G200" s="95" t="e">
        <v>#REF!</v>
      </c>
      <c r="H200" s="95" t="e">
        <v>#REF!</v>
      </c>
      <c r="I200" s="95" t="e">
        <v>#REF!</v>
      </c>
      <c r="J200" s="95" t="e">
        <v>#REF!</v>
      </c>
      <c r="K200" s="95" t="e">
        <v>#REF!</v>
      </c>
      <c r="L200" s="96" t="e">
        <v>#REF!</v>
      </c>
      <c r="O200" s="80"/>
    </row>
    <row r="201" spans="1:20" x14ac:dyDescent="0.25">
      <c r="E201" s="60" t="s">
        <v>6</v>
      </c>
      <c r="F201" s="27">
        <v>0.42946708463949845</v>
      </c>
      <c r="G201" s="27">
        <v>0.40135396518375244</v>
      </c>
      <c r="H201" s="27">
        <v>0.30718954248366015</v>
      </c>
      <c r="I201" s="27">
        <v>0.41563786008230452</v>
      </c>
      <c r="J201" s="27">
        <v>0.35950413223140498</v>
      </c>
      <c r="K201" s="27">
        <v>0.37956204379562042</v>
      </c>
      <c r="L201" s="87">
        <v>0.38792390405293631</v>
      </c>
      <c r="O201" s="80"/>
    </row>
    <row r="202" spans="1:20" ht="6.95" customHeight="1" x14ac:dyDescent="0.25">
      <c r="E202" s="60"/>
      <c r="F202" s="95" t="e">
        <v>#REF!</v>
      </c>
      <c r="G202" s="95" t="e">
        <v>#REF!</v>
      </c>
      <c r="H202" s="95" t="e">
        <v>#REF!</v>
      </c>
      <c r="I202" s="95" t="e">
        <v>#REF!</v>
      </c>
      <c r="J202" s="95" t="e">
        <v>#REF!</v>
      </c>
      <c r="K202" s="95" t="e">
        <v>#REF!</v>
      </c>
      <c r="L202" s="96" t="e">
        <v>#REF!</v>
      </c>
      <c r="O202" s="80"/>
    </row>
    <row r="203" spans="1:20" x14ac:dyDescent="0.25">
      <c r="E203" s="60" t="s">
        <v>8</v>
      </c>
      <c r="F203" s="27">
        <v>6.269592476489028E-3</v>
      </c>
      <c r="G203" s="27">
        <v>9.6711798839458421E-3</v>
      </c>
      <c r="H203" s="27">
        <v>2.6143790849673203E-2</v>
      </c>
      <c r="I203" s="27">
        <v>2.4691358024691357E-2</v>
      </c>
      <c r="J203" s="27">
        <v>1.6528925619834711E-2</v>
      </c>
      <c r="K203" s="27">
        <v>3.6496350364963502E-3</v>
      </c>
      <c r="L203" s="87">
        <v>1.282051282051282E-2</v>
      </c>
      <c r="O203" s="80"/>
    </row>
    <row r="204" spans="1:20" ht="6.95" customHeight="1" x14ac:dyDescent="0.25">
      <c r="E204" s="60"/>
      <c r="F204" s="95" t="e">
        <v>#REF!</v>
      </c>
      <c r="G204" s="95" t="e">
        <v>#REF!</v>
      </c>
      <c r="H204" s="95" t="e">
        <v>#REF!</v>
      </c>
      <c r="I204" s="95" t="e">
        <v>#REF!</v>
      </c>
      <c r="J204" s="95" t="e">
        <v>#REF!</v>
      </c>
      <c r="K204" s="95" t="e">
        <v>#REF!</v>
      </c>
      <c r="L204" s="96" t="e">
        <v>#REF!</v>
      </c>
      <c r="O204" s="80"/>
    </row>
    <row r="205" spans="1:20" x14ac:dyDescent="0.25">
      <c r="E205" s="60" t="s">
        <v>7</v>
      </c>
      <c r="F205" s="27">
        <v>5.329153605015674E-2</v>
      </c>
      <c r="G205" s="27">
        <v>2.80464216634429E-2</v>
      </c>
      <c r="H205" s="27">
        <v>5.8823529411764663E-2</v>
      </c>
      <c r="I205" s="27">
        <v>2.4691358024691357E-2</v>
      </c>
      <c r="J205" s="27">
        <v>7.4380165289256173E-2</v>
      </c>
      <c r="K205" s="27">
        <v>5.47445255474453E-2</v>
      </c>
      <c r="L205" s="87">
        <v>4.2597187758478094E-2</v>
      </c>
      <c r="O205" s="80"/>
    </row>
    <row r="206" spans="1:20" x14ac:dyDescent="0.25">
      <c r="F206" s="95" t="e">
        <v>#DIV/0!</v>
      </c>
      <c r="G206" s="95"/>
      <c r="H206" s="95"/>
      <c r="I206" s="95"/>
      <c r="J206" s="3"/>
      <c r="K206" s="3"/>
      <c r="L206" s="99"/>
    </row>
    <row r="207" spans="1:20" hidden="1" x14ac:dyDescent="0.25">
      <c r="F207" s="3"/>
      <c r="G207" s="3"/>
      <c r="H207" s="3"/>
      <c r="I207" s="3"/>
      <c r="J207" s="3"/>
      <c r="K207" s="3"/>
      <c r="L207" s="99"/>
    </row>
    <row r="208" spans="1:20" hidden="1" x14ac:dyDescent="0.25">
      <c r="F208" s="3"/>
      <c r="G208" s="3"/>
      <c r="H208" s="3"/>
      <c r="I208" s="3"/>
      <c r="J208" s="3"/>
      <c r="K208" s="3"/>
      <c r="L208" s="99"/>
    </row>
    <row r="209" spans="2:12" hidden="1" x14ac:dyDescent="0.25">
      <c r="B209" s="29" t="e">
        <v>#DIV/0!</v>
      </c>
      <c r="C209" s="46">
        <v>5.9016393442622953E-2</v>
      </c>
      <c r="D209" s="29" t="e">
        <v>#DIV/0!</v>
      </c>
      <c r="E209" s="47">
        <v>0.10105708245243129</v>
      </c>
      <c r="F209" s="3"/>
      <c r="G209" s="3"/>
      <c r="H209" s="3"/>
      <c r="I209" s="3"/>
      <c r="J209" s="3"/>
      <c r="K209" s="3"/>
      <c r="L209" s="99"/>
    </row>
    <row r="210" spans="2:12" hidden="1" x14ac:dyDescent="0.25">
      <c r="B210" s="29" t="e">
        <v>#DIV/0!</v>
      </c>
      <c r="C210" s="46">
        <v>3.2786885245901641E-2</v>
      </c>
      <c r="D210" s="29" t="e">
        <v>#DIV/0!</v>
      </c>
      <c r="E210" s="47">
        <v>4.7357293868921777E-2</v>
      </c>
      <c r="F210" s="3"/>
      <c r="G210" s="3"/>
      <c r="H210" s="3"/>
      <c r="I210" s="3"/>
      <c r="J210" s="3"/>
      <c r="K210" s="3"/>
      <c r="L210" s="99"/>
    </row>
    <row r="211" spans="2:12" hidden="1" x14ac:dyDescent="0.25">
      <c r="B211" s="29" t="e">
        <v>#DIV/0!</v>
      </c>
      <c r="C211" s="46">
        <v>0.11147540983606558</v>
      </c>
      <c r="D211" s="29" t="e">
        <v>#DIV/0!</v>
      </c>
      <c r="E211" s="47">
        <v>0.11797040169133192</v>
      </c>
      <c r="F211" s="3"/>
      <c r="G211" s="3"/>
      <c r="H211" s="3"/>
      <c r="I211" s="3"/>
      <c r="J211" s="3"/>
      <c r="K211" s="3"/>
      <c r="L211" s="99"/>
    </row>
    <row r="212" spans="2:12" hidden="1" x14ac:dyDescent="0.25">
      <c r="B212" s="29" t="e">
        <v>#DIV/0!</v>
      </c>
      <c r="C212" s="46">
        <v>2.9508196721311476E-2</v>
      </c>
      <c r="D212" s="29" t="e">
        <v>#DIV/0!</v>
      </c>
      <c r="E212" s="47">
        <v>3.4249471458773786E-2</v>
      </c>
      <c r="F212" s="3"/>
      <c r="G212" s="3"/>
      <c r="H212" s="3"/>
      <c r="I212" s="3"/>
      <c r="J212" s="3"/>
      <c r="K212" s="3"/>
      <c r="L212" s="99"/>
    </row>
    <row r="213" spans="2:12" hidden="1" x14ac:dyDescent="0.25">
      <c r="B213" s="29" t="e">
        <v>#DIV/0!</v>
      </c>
      <c r="C213" s="46">
        <v>6.8852459016393447E-2</v>
      </c>
      <c r="D213" s="29" t="e">
        <v>#DIV/0!</v>
      </c>
      <c r="E213" s="47">
        <v>7.1881606765327691E-2</v>
      </c>
      <c r="F213" s="3"/>
      <c r="G213" s="3"/>
      <c r="H213" s="3"/>
      <c r="I213" s="3"/>
      <c r="J213" s="3"/>
      <c r="K213" s="3"/>
      <c r="L213" s="99"/>
    </row>
    <row r="214" spans="2:12" hidden="1" x14ac:dyDescent="0.25">
      <c r="B214" s="29" t="e">
        <v>#DIV/0!</v>
      </c>
      <c r="C214" s="46">
        <v>6.8852459016393447E-2</v>
      </c>
      <c r="D214" s="29" t="e">
        <v>#DIV/0!</v>
      </c>
      <c r="E214" s="47">
        <v>9.9365750528541227E-2</v>
      </c>
      <c r="F214" s="3"/>
      <c r="G214" s="3"/>
      <c r="H214" s="3"/>
      <c r="I214" s="3"/>
      <c r="J214" s="3"/>
      <c r="K214" s="3"/>
      <c r="L214" s="99"/>
    </row>
    <row r="215" spans="2:12" hidden="1" x14ac:dyDescent="0.25">
      <c r="B215" s="29" t="e">
        <v>#DIV/0!</v>
      </c>
      <c r="C215" s="46">
        <v>0.55081967213114758</v>
      </c>
      <c r="D215" s="29" t="e">
        <v>#DIV/0!</v>
      </c>
      <c r="E215" s="47">
        <v>0.45792811839323466</v>
      </c>
      <c r="F215" s="3"/>
      <c r="G215" s="3"/>
      <c r="H215" s="3"/>
      <c r="I215" s="3"/>
      <c r="J215" s="3"/>
      <c r="K215" s="3"/>
      <c r="L215" s="3"/>
    </row>
    <row r="216" spans="2:12" hidden="1" x14ac:dyDescent="0.25">
      <c r="B216" s="29" t="e">
        <v>#DIV/0!</v>
      </c>
      <c r="C216" s="46">
        <v>0</v>
      </c>
      <c r="D216" s="29" t="e">
        <v>#DIV/0!</v>
      </c>
      <c r="E216" s="47">
        <v>0</v>
      </c>
      <c r="F216" s="3"/>
      <c r="G216" s="3"/>
      <c r="H216" s="3"/>
      <c r="I216" s="3"/>
      <c r="J216" s="3"/>
      <c r="K216" s="3"/>
      <c r="L216" s="3"/>
    </row>
    <row r="217" spans="2:12" hidden="1" x14ac:dyDescent="0.25">
      <c r="B217" s="29" t="e">
        <v>#DIV/0!</v>
      </c>
      <c r="C217" s="46">
        <v>0</v>
      </c>
      <c r="D217" s="29" t="e">
        <v>#DIV/0!</v>
      </c>
      <c r="E217" s="47">
        <v>0</v>
      </c>
    </row>
    <row r="218" spans="2:12" hidden="1" x14ac:dyDescent="0.25">
      <c r="B218" s="29" t="e">
        <v>#DIV/0!</v>
      </c>
      <c r="C218" s="46">
        <v>0</v>
      </c>
      <c r="D218" s="29" t="e">
        <v>#DIV/0!</v>
      </c>
      <c r="E218" s="47">
        <v>0</v>
      </c>
    </row>
    <row r="219" spans="2:12" hidden="1" x14ac:dyDescent="0.25">
      <c r="B219" s="29" t="e">
        <v>#DIV/0!</v>
      </c>
      <c r="C219" s="46">
        <v>0</v>
      </c>
      <c r="D219" s="29" t="e">
        <v>#DIV/0!</v>
      </c>
      <c r="E219" s="47">
        <v>0</v>
      </c>
    </row>
    <row r="220" spans="2:12" hidden="1" x14ac:dyDescent="0.25">
      <c r="B220" s="29" t="e">
        <v>#DIV/0!</v>
      </c>
      <c r="C220" s="46">
        <v>0</v>
      </c>
      <c r="D220" s="29" t="e">
        <v>#DIV/0!</v>
      </c>
      <c r="E220" s="47">
        <v>0</v>
      </c>
    </row>
    <row r="221" spans="2:12" hidden="1" x14ac:dyDescent="0.25">
      <c r="B221" s="29" t="e">
        <v>#DIV/0!</v>
      </c>
      <c r="C221" s="46">
        <v>0</v>
      </c>
      <c r="D221" s="29" t="e">
        <v>#DIV/0!</v>
      </c>
      <c r="E221" s="47">
        <v>0</v>
      </c>
    </row>
    <row r="222" spans="2:12" hidden="1" x14ac:dyDescent="0.25"/>
    <row r="223" spans="2:12" hidden="1" x14ac:dyDescent="0.25"/>
    <row r="224" spans="2:12" hidden="1" x14ac:dyDescent="0.25"/>
    <row r="225" spans="2:5" hidden="1" x14ac:dyDescent="0.25"/>
    <row r="226" spans="2:5" hidden="1" x14ac:dyDescent="0.25">
      <c r="B226" s="32"/>
      <c r="C226" s="32"/>
      <c r="D226" s="32"/>
      <c r="E226" s="32"/>
    </row>
    <row r="227" spans="2:5" x14ac:dyDescent="0.25"/>
  </sheetData>
  <sheetProtection password="F719" sheet="1" objects="1" scenarios="1" selectLockedCells="1"/>
  <mergeCells count="8">
    <mergeCell ref="A199:E199"/>
    <mergeCell ref="A8:N8"/>
    <mergeCell ref="C2:L5"/>
    <mergeCell ref="D106:J106"/>
    <mergeCell ref="B107:C107"/>
    <mergeCell ref="D122:J122"/>
    <mergeCell ref="B123:C123"/>
    <mergeCell ref="A44:E45"/>
  </mergeCells>
  <pageMargins left="0.7" right="0.7" top="0.75" bottom="0.75" header="0.3" footer="0.3"/>
  <pageSetup paperSize="9" scale="7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K36"/>
  <sheetViews>
    <sheetView workbookViewId="0">
      <selection sqref="A1:A36"/>
    </sheetView>
  </sheetViews>
  <sheetFormatPr baseColWidth="10" defaultRowHeight="15" x14ac:dyDescent="0.25"/>
  <cols>
    <col min="4" max="50" width="11.5703125" bestFit="1" customWidth="1"/>
    <col min="51" max="51" width="12" bestFit="1" customWidth="1"/>
    <col min="52" max="323" width="11.5703125" bestFit="1" customWidth="1"/>
  </cols>
  <sheetData>
    <row r="1" spans="1:323" x14ac:dyDescent="0.25">
      <c r="A1" t="s">
        <v>11</v>
      </c>
      <c r="B1" t="s">
        <v>55</v>
      </c>
      <c r="C1" t="s">
        <v>151</v>
      </c>
      <c r="D1">
        <v>2.1897810218978103E-2</v>
      </c>
      <c r="E1">
        <v>5.1094890510948905E-2</v>
      </c>
      <c r="F1">
        <v>0.20437956204379562</v>
      </c>
      <c r="G1">
        <v>0.43065693430656932</v>
      </c>
      <c r="H1">
        <v>0.29197080291970801</v>
      </c>
      <c r="I1">
        <v>1.1579818031430935E-2</v>
      </c>
      <c r="J1">
        <v>6.1621174524400329E-2</v>
      </c>
      <c r="K1">
        <v>0.21464019851116625</v>
      </c>
      <c r="L1">
        <v>0.44582299421009097</v>
      </c>
      <c r="M1">
        <v>0.26633581472291151</v>
      </c>
      <c r="N1">
        <v>0.66666666666666663</v>
      </c>
      <c r="O1">
        <v>0.33333333333333337</v>
      </c>
      <c r="P1">
        <v>0.6428571428571429</v>
      </c>
      <c r="Q1">
        <v>0.3571428571428571</v>
      </c>
      <c r="R1">
        <v>6</v>
      </c>
      <c r="S1">
        <v>32.166666666666664</v>
      </c>
      <c r="T1">
        <v>0</v>
      </c>
      <c r="U1">
        <v>5.333333333333333</v>
      </c>
      <c r="V1">
        <v>3.3333333333333335</v>
      </c>
      <c r="W1">
        <v>13</v>
      </c>
      <c r="X1">
        <v>28</v>
      </c>
      <c r="Y1">
        <v>32.285714285714285</v>
      </c>
      <c r="Z1">
        <v>2</v>
      </c>
      <c r="AA1">
        <v>8.6428571428571423</v>
      </c>
      <c r="AB1">
        <v>3.8571428571428572</v>
      </c>
      <c r="AC1">
        <v>30.25</v>
      </c>
      <c r="AD1">
        <v>1</v>
      </c>
      <c r="AE1">
        <v>0.41269841269841268</v>
      </c>
      <c r="AF1">
        <v>12</v>
      </c>
      <c r="AG1">
        <v>52</v>
      </c>
      <c r="AH1">
        <v>0</v>
      </c>
      <c r="AI1">
        <v>0.56349206349206349</v>
      </c>
      <c r="AJ1">
        <v>0</v>
      </c>
      <c r="AK1">
        <v>71</v>
      </c>
      <c r="AL1">
        <v>0</v>
      </c>
      <c r="AM1">
        <v>2.3809523809523808E-2</v>
      </c>
      <c r="AN1">
        <v>0</v>
      </c>
      <c r="AO1">
        <v>3</v>
      </c>
      <c r="AP1">
        <v>0</v>
      </c>
      <c r="AQ1">
        <v>0</v>
      </c>
      <c r="AR1">
        <v>0</v>
      </c>
      <c r="AS1">
        <v>0</v>
      </c>
      <c r="AT1">
        <v>0</v>
      </c>
      <c r="AU1">
        <v>0</v>
      </c>
      <c r="AV1">
        <v>0</v>
      </c>
      <c r="AW1">
        <v>0</v>
      </c>
      <c r="AX1">
        <v>0</v>
      </c>
      <c r="AY1">
        <v>0</v>
      </c>
      <c r="AZ1">
        <v>0</v>
      </c>
      <c r="BA1">
        <v>0</v>
      </c>
      <c r="BB1">
        <v>0.5</v>
      </c>
      <c r="BC1">
        <v>9.3333333333333339</v>
      </c>
      <c r="BD1">
        <v>0</v>
      </c>
      <c r="BE1">
        <v>0</v>
      </c>
      <c r="BF1">
        <v>0</v>
      </c>
      <c r="BG1" s="116" t="s">
        <v>187</v>
      </c>
      <c r="BH1">
        <v>0.35714285714285715</v>
      </c>
      <c r="BI1">
        <v>7.75</v>
      </c>
      <c r="BJ1">
        <v>0</v>
      </c>
      <c r="BK1">
        <v>0</v>
      </c>
      <c r="BL1">
        <v>0</v>
      </c>
      <c r="BM1">
        <v>0</v>
      </c>
      <c r="BN1">
        <v>0.1</v>
      </c>
      <c r="BO1">
        <v>0.19444444444444445</v>
      </c>
      <c r="BP1">
        <v>2</v>
      </c>
      <c r="BQ1">
        <v>21</v>
      </c>
      <c r="BR1">
        <v>0.35</v>
      </c>
      <c r="BS1">
        <v>0.20370370370370369</v>
      </c>
      <c r="BT1">
        <v>7</v>
      </c>
      <c r="BU1">
        <v>22</v>
      </c>
      <c r="BV1">
        <v>0.05</v>
      </c>
      <c r="BW1">
        <v>3.7037037037037035E-2</v>
      </c>
      <c r="BX1">
        <v>1</v>
      </c>
      <c r="BY1">
        <v>4</v>
      </c>
      <c r="BZ1">
        <v>0</v>
      </c>
      <c r="CA1">
        <v>1.8518518518518517E-2</v>
      </c>
      <c r="CB1">
        <v>0</v>
      </c>
      <c r="CC1">
        <v>2</v>
      </c>
      <c r="CD1">
        <v>0.15</v>
      </c>
      <c r="CE1">
        <v>0.12037037037037036</v>
      </c>
      <c r="CF1">
        <v>3</v>
      </c>
      <c r="CG1">
        <v>13</v>
      </c>
      <c r="CH1">
        <v>0.15</v>
      </c>
      <c r="CI1">
        <v>6.4814814814814811E-2</v>
      </c>
      <c r="CJ1">
        <v>3</v>
      </c>
      <c r="CK1">
        <v>7</v>
      </c>
      <c r="CL1">
        <v>0</v>
      </c>
      <c r="CM1">
        <v>0</v>
      </c>
      <c r="CN1">
        <v>0</v>
      </c>
      <c r="CO1">
        <v>0</v>
      </c>
      <c r="CP1">
        <v>0</v>
      </c>
      <c r="CQ1">
        <v>9.2592592592592587E-3</v>
      </c>
      <c r="CR1">
        <v>0</v>
      </c>
      <c r="CS1">
        <v>1</v>
      </c>
      <c r="CT1">
        <v>0.05</v>
      </c>
      <c r="CU1">
        <v>5.5555555555555552E-2</v>
      </c>
      <c r="CV1">
        <v>1</v>
      </c>
      <c r="CW1">
        <v>6</v>
      </c>
      <c r="CX1">
        <v>0.15</v>
      </c>
      <c r="CY1">
        <v>0.27777777777777779</v>
      </c>
      <c r="CZ1">
        <v>3</v>
      </c>
      <c r="DA1">
        <v>30</v>
      </c>
      <c r="DB1">
        <v>0</v>
      </c>
      <c r="DC1">
        <v>1.851851851851849E-2</v>
      </c>
      <c r="DD1">
        <v>0</v>
      </c>
      <c r="DE1">
        <v>0</v>
      </c>
      <c r="DF1">
        <v>0</v>
      </c>
      <c r="DG1">
        <v>0.14285714285714285</v>
      </c>
      <c r="DH1">
        <v>0</v>
      </c>
      <c r="DI1">
        <v>4</v>
      </c>
      <c r="DJ1">
        <v>0</v>
      </c>
      <c r="DK1">
        <v>0</v>
      </c>
      <c r="DL1">
        <v>0</v>
      </c>
      <c r="DM1">
        <v>0</v>
      </c>
      <c r="DN1">
        <v>0.33333333333333331</v>
      </c>
      <c r="DO1">
        <v>0.17857142857142858</v>
      </c>
      <c r="DP1">
        <v>2</v>
      </c>
      <c r="DQ1">
        <v>5</v>
      </c>
      <c r="DR1">
        <v>0</v>
      </c>
      <c r="DS1">
        <v>0</v>
      </c>
      <c r="DT1">
        <v>0</v>
      </c>
      <c r="DU1">
        <v>0</v>
      </c>
      <c r="DV1">
        <v>0</v>
      </c>
      <c r="DW1">
        <v>0.10714285714285714</v>
      </c>
      <c r="DX1">
        <v>0</v>
      </c>
      <c r="DY1">
        <v>3</v>
      </c>
      <c r="DZ1">
        <v>0</v>
      </c>
      <c r="EA1">
        <v>0.14285714285714285</v>
      </c>
      <c r="EB1">
        <v>0</v>
      </c>
      <c r="EC1">
        <v>4</v>
      </c>
      <c r="ED1">
        <v>0.66666666666666663</v>
      </c>
      <c r="EE1">
        <v>0.35714285714285715</v>
      </c>
      <c r="EF1">
        <v>4</v>
      </c>
      <c r="EG1">
        <v>10</v>
      </c>
      <c r="EH1">
        <v>0</v>
      </c>
      <c r="EI1">
        <v>7.1428571428571397E-2</v>
      </c>
      <c r="EJ1" s="116" t="s">
        <v>187</v>
      </c>
      <c r="EK1">
        <v>1.9999999999999991</v>
      </c>
      <c r="EL1">
        <v>0.83333333333333337</v>
      </c>
      <c r="EM1">
        <v>0.17857142857142858</v>
      </c>
      <c r="EN1">
        <v>5</v>
      </c>
      <c r="EO1">
        <v>5</v>
      </c>
      <c r="EP1">
        <v>0</v>
      </c>
      <c r="EQ1">
        <v>7.1428571428571425E-2</v>
      </c>
      <c r="ER1">
        <v>0</v>
      </c>
      <c r="ES1">
        <v>2</v>
      </c>
      <c r="ET1">
        <v>0.16666666666666666</v>
      </c>
      <c r="EU1">
        <v>0.5714285714285714</v>
      </c>
      <c r="EV1">
        <v>1</v>
      </c>
      <c r="EW1">
        <v>16</v>
      </c>
      <c r="EX1">
        <v>0</v>
      </c>
      <c r="EY1">
        <v>7.1428571428571425E-2</v>
      </c>
      <c r="EZ1">
        <v>0</v>
      </c>
      <c r="FA1">
        <v>2</v>
      </c>
      <c r="FB1">
        <v>0</v>
      </c>
      <c r="FC1">
        <v>0</v>
      </c>
      <c r="FD1">
        <v>0</v>
      </c>
      <c r="FE1">
        <v>0</v>
      </c>
      <c r="FF1">
        <v>0</v>
      </c>
      <c r="FG1">
        <v>0.10714285714285714</v>
      </c>
      <c r="FH1">
        <v>0</v>
      </c>
      <c r="FI1">
        <v>3</v>
      </c>
      <c r="FJ1">
        <v>0</v>
      </c>
      <c r="FK1">
        <v>0</v>
      </c>
      <c r="FL1">
        <v>0</v>
      </c>
      <c r="FM1">
        <v>0</v>
      </c>
      <c r="FN1">
        <v>3</v>
      </c>
      <c r="FO1">
        <v>13</v>
      </c>
      <c r="FP1">
        <v>3</v>
      </c>
      <c r="FQ1">
        <v>13</v>
      </c>
      <c r="FR1">
        <v>1</v>
      </c>
      <c r="FS1">
        <v>0.23076923076923078</v>
      </c>
      <c r="FT1">
        <v>3</v>
      </c>
      <c r="FU1">
        <v>3</v>
      </c>
      <c r="FV1">
        <v>0</v>
      </c>
      <c r="FW1">
        <v>0</v>
      </c>
      <c r="FX1">
        <v>0</v>
      </c>
      <c r="FY1">
        <v>0</v>
      </c>
      <c r="FZ1">
        <v>0</v>
      </c>
      <c r="GA1">
        <v>0.30769230769230771</v>
      </c>
      <c r="GB1">
        <v>0</v>
      </c>
      <c r="GC1">
        <v>4</v>
      </c>
      <c r="GD1">
        <v>0</v>
      </c>
      <c r="GE1">
        <v>0</v>
      </c>
      <c r="GF1">
        <v>0</v>
      </c>
      <c r="GG1">
        <v>0</v>
      </c>
      <c r="GH1">
        <v>0</v>
      </c>
      <c r="GI1">
        <v>0</v>
      </c>
      <c r="GJ1">
        <v>0</v>
      </c>
      <c r="GK1">
        <v>0</v>
      </c>
      <c r="GL1">
        <v>0</v>
      </c>
      <c r="GM1">
        <v>0.38461538461538464</v>
      </c>
      <c r="GN1">
        <v>0</v>
      </c>
      <c r="GO1">
        <v>5</v>
      </c>
      <c r="GP1">
        <v>0</v>
      </c>
      <c r="GQ1">
        <v>7.6923076923076927E-2</v>
      </c>
      <c r="GR1">
        <v>0</v>
      </c>
      <c r="GS1">
        <v>1</v>
      </c>
      <c r="GT1">
        <v>0</v>
      </c>
      <c r="GU1">
        <v>0</v>
      </c>
      <c r="GV1">
        <v>0</v>
      </c>
      <c r="GW1">
        <v>0</v>
      </c>
      <c r="GX1">
        <v>0</v>
      </c>
      <c r="GY1">
        <v>7.1428571428571425E-2</v>
      </c>
      <c r="GZ1">
        <v>0</v>
      </c>
      <c r="HA1">
        <v>2</v>
      </c>
      <c r="HB1">
        <v>0</v>
      </c>
      <c r="HC1">
        <v>0</v>
      </c>
      <c r="HD1">
        <v>0</v>
      </c>
      <c r="HE1">
        <v>0</v>
      </c>
      <c r="HF1">
        <v>0</v>
      </c>
      <c r="HG1">
        <v>0</v>
      </c>
      <c r="HH1">
        <v>0</v>
      </c>
      <c r="HI1">
        <v>0</v>
      </c>
      <c r="HJ1">
        <v>0</v>
      </c>
      <c r="HK1">
        <v>0</v>
      </c>
      <c r="HL1">
        <v>0</v>
      </c>
      <c r="HM1">
        <v>0</v>
      </c>
      <c r="HN1">
        <v>0</v>
      </c>
      <c r="HO1">
        <v>0</v>
      </c>
      <c r="HP1">
        <v>0</v>
      </c>
      <c r="HQ1">
        <v>0</v>
      </c>
      <c r="HR1">
        <v>1</v>
      </c>
      <c r="HS1">
        <v>0.8928571428571429</v>
      </c>
      <c r="HT1">
        <v>6</v>
      </c>
      <c r="HU1">
        <v>25</v>
      </c>
      <c r="HV1">
        <v>0</v>
      </c>
      <c r="HW1">
        <v>3.5714285714285712E-2</v>
      </c>
      <c r="HX1">
        <v>0</v>
      </c>
      <c r="HY1">
        <v>1</v>
      </c>
      <c r="HZ1">
        <v>0.66666666666666663</v>
      </c>
      <c r="IA1">
        <v>0.6</v>
      </c>
      <c r="IB1">
        <v>2</v>
      </c>
      <c r="IC1">
        <v>6</v>
      </c>
      <c r="ID1">
        <v>0</v>
      </c>
      <c r="IE1">
        <v>0.1</v>
      </c>
      <c r="IF1">
        <v>0</v>
      </c>
      <c r="IG1">
        <v>1</v>
      </c>
      <c r="IH1">
        <v>0</v>
      </c>
      <c r="II1">
        <v>0.1</v>
      </c>
      <c r="IJ1">
        <v>0</v>
      </c>
      <c r="IK1">
        <v>1</v>
      </c>
      <c r="IL1">
        <v>0</v>
      </c>
      <c r="IM1">
        <v>0</v>
      </c>
      <c r="IN1">
        <v>0</v>
      </c>
      <c r="IO1">
        <v>0</v>
      </c>
      <c r="IP1">
        <v>0.33333333333333331</v>
      </c>
      <c r="IQ1">
        <v>0.2</v>
      </c>
      <c r="IR1">
        <v>1</v>
      </c>
      <c r="IS1">
        <v>2</v>
      </c>
      <c r="IT1">
        <v>35</v>
      </c>
      <c r="IU1">
        <v>69.75</v>
      </c>
      <c r="IV1">
        <v>1</v>
      </c>
      <c r="IW1">
        <v>0.625</v>
      </c>
      <c r="IX1">
        <v>2</v>
      </c>
      <c r="IY1">
        <v>5</v>
      </c>
      <c r="IZ1">
        <v>0</v>
      </c>
      <c r="JA1">
        <v>0.125</v>
      </c>
      <c r="JB1">
        <v>0</v>
      </c>
      <c r="JC1">
        <v>1</v>
      </c>
      <c r="JD1">
        <v>0</v>
      </c>
      <c r="JE1">
        <v>0.125</v>
      </c>
      <c r="JF1">
        <v>0</v>
      </c>
      <c r="JG1">
        <v>1</v>
      </c>
      <c r="JH1">
        <v>0</v>
      </c>
      <c r="JI1">
        <v>0</v>
      </c>
      <c r="JJ1">
        <v>0</v>
      </c>
      <c r="JK1">
        <v>0</v>
      </c>
      <c r="JL1">
        <v>0</v>
      </c>
      <c r="JM1">
        <v>0.125</v>
      </c>
      <c r="JN1">
        <v>0</v>
      </c>
      <c r="JO1">
        <v>1</v>
      </c>
      <c r="JP1" s="116" t="s">
        <v>187</v>
      </c>
      <c r="JQ1" s="116" t="s">
        <v>187</v>
      </c>
      <c r="JR1">
        <v>0</v>
      </c>
      <c r="JS1">
        <v>0</v>
      </c>
      <c r="JT1" s="116" t="s">
        <v>187</v>
      </c>
      <c r="JU1" s="116" t="s">
        <v>187</v>
      </c>
      <c r="JV1">
        <v>0</v>
      </c>
      <c r="JW1">
        <v>0</v>
      </c>
      <c r="JX1" s="116" t="s">
        <v>187</v>
      </c>
      <c r="JY1" s="116" t="s">
        <v>187</v>
      </c>
      <c r="JZ1">
        <v>0</v>
      </c>
      <c r="KA1">
        <v>0</v>
      </c>
      <c r="KB1" s="116" t="s">
        <v>187</v>
      </c>
      <c r="KC1" s="116" t="s">
        <v>187</v>
      </c>
      <c r="KD1">
        <v>0</v>
      </c>
      <c r="KE1">
        <v>0</v>
      </c>
      <c r="KF1" s="116" t="s">
        <v>187</v>
      </c>
      <c r="KG1" s="116" t="s">
        <v>187</v>
      </c>
      <c r="KH1">
        <v>0</v>
      </c>
      <c r="KI1">
        <v>0</v>
      </c>
      <c r="KJ1" s="116" t="s">
        <v>187</v>
      </c>
      <c r="KK1" s="116" t="s">
        <v>187</v>
      </c>
      <c r="KL1">
        <v>0</v>
      </c>
      <c r="KM1">
        <v>0</v>
      </c>
      <c r="KN1" s="116" t="s">
        <v>187</v>
      </c>
      <c r="KO1" s="116" t="s">
        <v>187</v>
      </c>
      <c r="KP1">
        <v>0</v>
      </c>
      <c r="KQ1">
        <v>0</v>
      </c>
      <c r="KR1" s="116" t="s">
        <v>187</v>
      </c>
      <c r="KS1" s="116" t="s">
        <v>187</v>
      </c>
      <c r="KT1">
        <v>0</v>
      </c>
      <c r="KU1">
        <v>0</v>
      </c>
      <c r="KV1" s="116" t="s">
        <v>187</v>
      </c>
      <c r="KW1" s="116" t="s">
        <v>187</v>
      </c>
      <c r="KX1">
        <v>0</v>
      </c>
      <c r="KY1">
        <v>0</v>
      </c>
      <c r="KZ1" s="116" t="s">
        <v>187</v>
      </c>
      <c r="LA1" s="116" t="s">
        <v>187</v>
      </c>
      <c r="LB1">
        <v>0</v>
      </c>
      <c r="LC1">
        <v>0</v>
      </c>
      <c r="LD1">
        <v>0.16666666666666666</v>
      </c>
      <c r="LE1">
        <v>0.16666666666666666</v>
      </c>
      <c r="LF1">
        <v>0</v>
      </c>
      <c r="LG1">
        <v>0</v>
      </c>
      <c r="LH1">
        <v>0.2857142857142857</v>
      </c>
      <c r="LI1">
        <v>0.21428571428571427</v>
      </c>
      <c r="LJ1">
        <v>0</v>
      </c>
      <c r="LK1">
        <v>7.1428571428571425E-2</v>
      </c>
    </row>
    <row r="2" spans="1:323" x14ac:dyDescent="0.25">
      <c r="A2" t="s">
        <v>11</v>
      </c>
      <c r="B2" t="s">
        <v>56</v>
      </c>
      <c r="C2" t="s">
        <v>152</v>
      </c>
      <c r="D2">
        <v>2.1897810218978103E-2</v>
      </c>
      <c r="E2">
        <v>5.1094890510948905E-2</v>
      </c>
      <c r="F2">
        <v>0.20437956204379562</v>
      </c>
      <c r="G2">
        <v>0.43065693430656932</v>
      </c>
      <c r="H2">
        <v>0.29197080291970801</v>
      </c>
      <c r="I2">
        <v>1.1579818031430935E-2</v>
      </c>
      <c r="J2">
        <v>6.1621174524400329E-2</v>
      </c>
      <c r="K2">
        <v>0.21464019851116625</v>
      </c>
      <c r="L2">
        <v>0.44582299421009097</v>
      </c>
      <c r="M2">
        <v>0.26633581472291151</v>
      </c>
      <c r="N2">
        <v>0.5714285714285714</v>
      </c>
      <c r="O2">
        <v>0.4285714285714286</v>
      </c>
      <c r="P2">
        <v>0.57046979865771807</v>
      </c>
      <c r="Q2">
        <v>0.42953020134228193</v>
      </c>
      <c r="R2">
        <v>14</v>
      </c>
      <c r="S2">
        <v>46.357142857142854</v>
      </c>
      <c r="T2">
        <v>0</v>
      </c>
      <c r="U2">
        <v>10.5</v>
      </c>
      <c r="V2">
        <v>4.8571428571428568</v>
      </c>
      <c r="W2">
        <v>25.357142857142858</v>
      </c>
      <c r="X2">
        <v>149</v>
      </c>
      <c r="Y2">
        <v>45.778523489932887</v>
      </c>
      <c r="Z2">
        <v>13</v>
      </c>
      <c r="AA2">
        <v>14.100671140939598</v>
      </c>
      <c r="AB2">
        <v>4.798657718120805</v>
      </c>
      <c r="AC2">
        <v>37.973154362416111</v>
      </c>
      <c r="AD2">
        <v>0.98734177215189878</v>
      </c>
      <c r="AE2">
        <v>0.44230769230769229</v>
      </c>
      <c r="AF2">
        <v>78</v>
      </c>
      <c r="AG2">
        <v>552</v>
      </c>
      <c r="AH2">
        <v>0</v>
      </c>
      <c r="AI2">
        <v>0.52804487179487181</v>
      </c>
      <c r="AJ2">
        <v>0</v>
      </c>
      <c r="AK2">
        <v>659</v>
      </c>
      <c r="AL2">
        <v>1.2658227848101266E-2</v>
      </c>
      <c r="AM2">
        <v>1.0416666666666666E-2</v>
      </c>
      <c r="AN2">
        <v>1</v>
      </c>
      <c r="AO2">
        <v>13</v>
      </c>
      <c r="AP2">
        <v>0</v>
      </c>
      <c r="AQ2">
        <v>1.282051282051282E-2</v>
      </c>
      <c r="AR2">
        <v>0</v>
      </c>
      <c r="AS2">
        <v>16</v>
      </c>
      <c r="AT2">
        <v>0</v>
      </c>
      <c r="AU2">
        <v>6.41025641025641E-3</v>
      </c>
      <c r="AV2">
        <v>0</v>
      </c>
      <c r="AW2">
        <v>8</v>
      </c>
      <c r="AX2">
        <v>0</v>
      </c>
      <c r="AY2">
        <v>0</v>
      </c>
      <c r="AZ2">
        <v>0</v>
      </c>
      <c r="BA2">
        <v>0</v>
      </c>
      <c r="BB2">
        <v>0.42857142857142855</v>
      </c>
      <c r="BC2">
        <v>6.5714285714285712</v>
      </c>
      <c r="BD2">
        <v>7.1428571428571425E-2</v>
      </c>
      <c r="BE2">
        <v>0.5</v>
      </c>
      <c r="BF2">
        <v>0.14285714285714285</v>
      </c>
      <c r="BG2" s="116" t="s">
        <v>187</v>
      </c>
      <c r="BH2">
        <v>0.28859060402684567</v>
      </c>
      <c r="BI2">
        <v>6.0067114093959733</v>
      </c>
      <c r="BJ2">
        <v>5.3691275167785234E-2</v>
      </c>
      <c r="BK2">
        <v>0.70469798657718119</v>
      </c>
      <c r="BL2">
        <v>2.6845637583892617E-2</v>
      </c>
      <c r="BM2">
        <v>0.66442953020134232</v>
      </c>
      <c r="BN2">
        <v>0.23529411764705882</v>
      </c>
      <c r="BO2">
        <v>0.27272727272727271</v>
      </c>
      <c r="BP2">
        <v>16</v>
      </c>
      <c r="BQ2">
        <v>195</v>
      </c>
      <c r="BR2">
        <v>0.13235294117647059</v>
      </c>
      <c r="BS2">
        <v>0.14265734265734265</v>
      </c>
      <c r="BT2">
        <v>9</v>
      </c>
      <c r="BU2">
        <v>102</v>
      </c>
      <c r="BV2">
        <v>8.8235294117647065E-2</v>
      </c>
      <c r="BW2">
        <v>6.7132867132867133E-2</v>
      </c>
      <c r="BX2">
        <v>6</v>
      </c>
      <c r="BY2">
        <v>48</v>
      </c>
      <c r="BZ2">
        <v>7.3529411764705885E-2</v>
      </c>
      <c r="CA2">
        <v>7.2727272727272724E-2</v>
      </c>
      <c r="CB2">
        <v>5</v>
      </c>
      <c r="CC2">
        <v>52</v>
      </c>
      <c r="CD2">
        <v>0</v>
      </c>
      <c r="CE2">
        <v>5.1748251748251747E-2</v>
      </c>
      <c r="CF2">
        <v>0</v>
      </c>
      <c r="CG2">
        <v>37</v>
      </c>
      <c r="CH2">
        <v>1.4705882352941176E-2</v>
      </c>
      <c r="CI2">
        <v>3.6363636363636362E-2</v>
      </c>
      <c r="CJ2">
        <v>1</v>
      </c>
      <c r="CK2">
        <v>26</v>
      </c>
      <c r="CL2">
        <v>0</v>
      </c>
      <c r="CM2">
        <v>0</v>
      </c>
      <c r="CN2">
        <v>0</v>
      </c>
      <c r="CO2">
        <v>0</v>
      </c>
      <c r="CP2">
        <v>5.8823529411764705E-2</v>
      </c>
      <c r="CQ2">
        <v>3.9160839160839164E-2</v>
      </c>
      <c r="CR2">
        <v>4</v>
      </c>
      <c r="CS2">
        <v>28</v>
      </c>
      <c r="CT2">
        <v>2.9411764705882353E-2</v>
      </c>
      <c r="CU2">
        <v>4.8951048951048952E-2</v>
      </c>
      <c r="CV2">
        <v>2</v>
      </c>
      <c r="CW2">
        <v>35</v>
      </c>
      <c r="CX2">
        <v>0.33823529411764708</v>
      </c>
      <c r="CY2">
        <v>0.24615384615384617</v>
      </c>
      <c r="CZ2">
        <v>23</v>
      </c>
      <c r="DA2">
        <v>176</v>
      </c>
      <c r="DB2">
        <v>2.9411764705882359E-2</v>
      </c>
      <c r="DC2">
        <v>2.2377622377622419E-2</v>
      </c>
      <c r="DD2">
        <v>2.0000000000000004</v>
      </c>
      <c r="DE2">
        <v>24.375000000000004</v>
      </c>
      <c r="DF2">
        <v>0</v>
      </c>
      <c r="DG2">
        <v>0.13422818791946309</v>
      </c>
      <c r="DH2">
        <v>0</v>
      </c>
      <c r="DI2">
        <v>20</v>
      </c>
      <c r="DJ2">
        <v>0</v>
      </c>
      <c r="DK2">
        <v>7.3825503355704702E-2</v>
      </c>
      <c r="DL2">
        <v>0</v>
      </c>
      <c r="DM2">
        <v>11</v>
      </c>
      <c r="DN2">
        <v>7.1428571428571425E-2</v>
      </c>
      <c r="DO2">
        <v>0.12080536912751678</v>
      </c>
      <c r="DP2">
        <v>1</v>
      </c>
      <c r="DQ2">
        <v>18</v>
      </c>
      <c r="DR2">
        <v>0</v>
      </c>
      <c r="DS2">
        <v>6.7114093959731542E-3</v>
      </c>
      <c r="DT2">
        <v>0</v>
      </c>
      <c r="DU2">
        <v>1</v>
      </c>
      <c r="DV2">
        <v>0.2857142857142857</v>
      </c>
      <c r="DW2">
        <v>0.13422818791946309</v>
      </c>
      <c r="DX2">
        <v>4</v>
      </c>
      <c r="DY2">
        <v>20</v>
      </c>
      <c r="DZ2">
        <v>7.1428571428571425E-2</v>
      </c>
      <c r="EA2">
        <v>8.7248322147651006E-2</v>
      </c>
      <c r="EB2">
        <v>1</v>
      </c>
      <c r="EC2">
        <v>13</v>
      </c>
      <c r="ED2">
        <v>0.42857142857142855</v>
      </c>
      <c r="EE2">
        <v>0.3825503355704698</v>
      </c>
      <c r="EF2">
        <v>6</v>
      </c>
      <c r="EG2">
        <v>57</v>
      </c>
      <c r="EH2">
        <v>0.14285714285714302</v>
      </c>
      <c r="EI2">
        <v>6.0402684563758413E-2</v>
      </c>
      <c r="EJ2" s="116" t="s">
        <v>187</v>
      </c>
      <c r="EK2">
        <v>9.0000000000000036</v>
      </c>
      <c r="EL2">
        <v>1</v>
      </c>
      <c r="EM2">
        <v>9.3959731543624164E-2</v>
      </c>
      <c r="EN2">
        <v>14</v>
      </c>
      <c r="EO2">
        <v>14</v>
      </c>
      <c r="EP2">
        <v>0</v>
      </c>
      <c r="EQ2">
        <v>6.7114093959731544E-2</v>
      </c>
      <c r="ER2">
        <v>0</v>
      </c>
      <c r="ES2">
        <v>10</v>
      </c>
      <c r="ET2">
        <v>0</v>
      </c>
      <c r="EU2">
        <v>0.50335570469798663</v>
      </c>
      <c r="EV2">
        <v>0</v>
      </c>
      <c r="EW2">
        <v>75</v>
      </c>
      <c r="EX2">
        <v>0</v>
      </c>
      <c r="EY2">
        <v>6.7114093959731544E-2</v>
      </c>
      <c r="EZ2">
        <v>0</v>
      </c>
      <c r="FA2">
        <v>10</v>
      </c>
      <c r="FB2">
        <v>0</v>
      </c>
      <c r="FC2">
        <v>8.7248322147651006E-2</v>
      </c>
      <c r="FD2">
        <v>0</v>
      </c>
      <c r="FE2">
        <v>13</v>
      </c>
      <c r="FF2">
        <v>0</v>
      </c>
      <c r="FG2">
        <v>0.13422818791946309</v>
      </c>
      <c r="FH2">
        <v>0</v>
      </c>
      <c r="FI2">
        <v>20</v>
      </c>
      <c r="FJ2">
        <v>0</v>
      </c>
      <c r="FK2">
        <v>4.6979865771812082E-2</v>
      </c>
      <c r="FL2">
        <v>0</v>
      </c>
      <c r="FM2">
        <v>7</v>
      </c>
      <c r="FN2">
        <v>0</v>
      </c>
      <c r="FO2">
        <v>37</v>
      </c>
      <c r="FP2">
        <v>0</v>
      </c>
      <c r="FQ2">
        <v>37</v>
      </c>
      <c r="FR2" s="116" t="s">
        <v>187</v>
      </c>
      <c r="FS2">
        <v>0</v>
      </c>
      <c r="FT2">
        <v>0</v>
      </c>
      <c r="FU2">
        <v>0</v>
      </c>
      <c r="FV2" s="116" t="s">
        <v>187</v>
      </c>
      <c r="FW2">
        <v>0</v>
      </c>
      <c r="FX2">
        <v>0</v>
      </c>
      <c r="FY2">
        <v>0</v>
      </c>
      <c r="FZ2" s="116" t="s">
        <v>187</v>
      </c>
      <c r="GA2">
        <v>0.48648648648648651</v>
      </c>
      <c r="GB2">
        <v>0</v>
      </c>
      <c r="GC2">
        <v>18</v>
      </c>
      <c r="GD2" s="116" t="s">
        <v>187</v>
      </c>
      <c r="GE2">
        <v>0</v>
      </c>
      <c r="GF2">
        <v>0</v>
      </c>
      <c r="GG2">
        <v>0</v>
      </c>
      <c r="GH2" s="116" t="s">
        <v>187</v>
      </c>
      <c r="GI2">
        <v>5.4054054054054057E-2</v>
      </c>
      <c r="GJ2">
        <v>0</v>
      </c>
      <c r="GK2">
        <v>2</v>
      </c>
      <c r="GL2" s="116" t="s">
        <v>187</v>
      </c>
      <c r="GM2">
        <v>0.32432432432432434</v>
      </c>
      <c r="GN2">
        <v>0</v>
      </c>
      <c r="GO2">
        <v>12</v>
      </c>
      <c r="GP2" s="116" t="s">
        <v>187</v>
      </c>
      <c r="GQ2">
        <v>0.13513513513513514</v>
      </c>
      <c r="GR2">
        <v>0</v>
      </c>
      <c r="GS2">
        <v>5</v>
      </c>
      <c r="GT2">
        <v>0.14285714285714285</v>
      </c>
      <c r="GU2">
        <v>7.3825503355704702E-2</v>
      </c>
      <c r="GV2">
        <v>2</v>
      </c>
      <c r="GW2">
        <v>11</v>
      </c>
      <c r="GX2">
        <v>7.1428571428571425E-2</v>
      </c>
      <c r="GY2">
        <v>7.3825503355704702E-2</v>
      </c>
      <c r="GZ2">
        <v>1</v>
      </c>
      <c r="HA2">
        <v>11</v>
      </c>
      <c r="HB2">
        <v>0</v>
      </c>
      <c r="HC2">
        <v>0</v>
      </c>
      <c r="HD2">
        <v>0</v>
      </c>
      <c r="HE2">
        <v>0</v>
      </c>
      <c r="HF2">
        <v>0</v>
      </c>
      <c r="HG2">
        <v>0</v>
      </c>
      <c r="HH2">
        <v>0</v>
      </c>
      <c r="HI2">
        <v>0</v>
      </c>
      <c r="HJ2">
        <v>7.1428571428571425E-2</v>
      </c>
      <c r="HK2">
        <v>6.7114093959731542E-3</v>
      </c>
      <c r="HL2">
        <v>1</v>
      </c>
      <c r="HM2">
        <v>1</v>
      </c>
      <c r="HN2">
        <v>0</v>
      </c>
      <c r="HO2">
        <v>0</v>
      </c>
      <c r="HP2">
        <v>0</v>
      </c>
      <c r="HQ2">
        <v>0</v>
      </c>
      <c r="HR2">
        <v>0.7142857142857143</v>
      </c>
      <c r="HS2">
        <v>0.81208053691275173</v>
      </c>
      <c r="HT2">
        <v>10</v>
      </c>
      <c r="HU2">
        <v>121</v>
      </c>
      <c r="HV2">
        <v>0</v>
      </c>
      <c r="HW2">
        <v>3.3557046979865772E-2</v>
      </c>
      <c r="HX2">
        <v>0</v>
      </c>
      <c r="HY2">
        <v>5</v>
      </c>
      <c r="HZ2">
        <v>0.42857142857142855</v>
      </c>
      <c r="IA2">
        <v>0.48888888888888887</v>
      </c>
      <c r="IB2">
        <v>3</v>
      </c>
      <c r="IC2">
        <v>22</v>
      </c>
      <c r="ID2">
        <v>0</v>
      </c>
      <c r="IE2">
        <v>8.8888888888888892E-2</v>
      </c>
      <c r="IF2">
        <v>0</v>
      </c>
      <c r="IG2">
        <v>4</v>
      </c>
      <c r="IH2">
        <v>0</v>
      </c>
      <c r="II2">
        <v>6.6666666666666666E-2</v>
      </c>
      <c r="IJ2">
        <v>0</v>
      </c>
      <c r="IK2">
        <v>3</v>
      </c>
      <c r="IL2">
        <v>0.42857142857142855</v>
      </c>
      <c r="IM2">
        <v>8.8888888888888892E-2</v>
      </c>
      <c r="IN2">
        <v>3</v>
      </c>
      <c r="IO2">
        <v>4</v>
      </c>
      <c r="IP2">
        <v>0.14285714285714285</v>
      </c>
      <c r="IQ2">
        <v>0.26666666666666666</v>
      </c>
      <c r="IR2">
        <v>1</v>
      </c>
      <c r="IS2">
        <v>12</v>
      </c>
      <c r="IT2">
        <v>0</v>
      </c>
      <c r="IU2">
        <v>66.038461538461533</v>
      </c>
      <c r="IV2">
        <v>1</v>
      </c>
      <c r="IW2">
        <v>0.61538461538461542</v>
      </c>
      <c r="IX2">
        <v>1</v>
      </c>
      <c r="IY2">
        <v>16</v>
      </c>
      <c r="IZ2">
        <v>0</v>
      </c>
      <c r="JA2">
        <v>3.8461538461538464E-2</v>
      </c>
      <c r="JB2">
        <v>0</v>
      </c>
      <c r="JC2">
        <v>1</v>
      </c>
      <c r="JD2">
        <v>0</v>
      </c>
      <c r="JE2">
        <v>0.11538461538461539</v>
      </c>
      <c r="JF2">
        <v>0</v>
      </c>
      <c r="JG2">
        <v>3</v>
      </c>
      <c r="JH2">
        <v>0</v>
      </c>
      <c r="JI2">
        <v>3.8461538461538464E-2</v>
      </c>
      <c r="JJ2">
        <v>0</v>
      </c>
      <c r="JK2">
        <v>1</v>
      </c>
      <c r="JL2">
        <v>0</v>
      </c>
      <c r="JM2">
        <v>0.19230769230769232</v>
      </c>
      <c r="JN2">
        <v>0</v>
      </c>
      <c r="JO2">
        <v>5</v>
      </c>
      <c r="JP2">
        <v>0</v>
      </c>
      <c r="JQ2">
        <v>0</v>
      </c>
      <c r="JR2">
        <v>0</v>
      </c>
      <c r="JS2">
        <v>0</v>
      </c>
      <c r="JT2">
        <v>1</v>
      </c>
      <c r="JU2">
        <v>0.875</v>
      </c>
      <c r="JV2">
        <v>1</v>
      </c>
      <c r="JW2">
        <v>7</v>
      </c>
      <c r="JX2">
        <v>0</v>
      </c>
      <c r="JY2">
        <v>0</v>
      </c>
      <c r="JZ2">
        <v>0</v>
      </c>
      <c r="KA2">
        <v>0</v>
      </c>
      <c r="KB2">
        <v>0</v>
      </c>
      <c r="KC2">
        <v>0.125</v>
      </c>
      <c r="KD2">
        <v>0</v>
      </c>
      <c r="KE2">
        <v>1</v>
      </c>
      <c r="KF2">
        <v>0</v>
      </c>
      <c r="KG2">
        <v>0</v>
      </c>
      <c r="KH2">
        <v>0</v>
      </c>
      <c r="KI2">
        <v>0</v>
      </c>
      <c r="KJ2">
        <v>0</v>
      </c>
      <c r="KK2">
        <v>0.5</v>
      </c>
      <c r="KL2">
        <v>0</v>
      </c>
      <c r="KM2">
        <v>4</v>
      </c>
      <c r="KN2">
        <v>0</v>
      </c>
      <c r="KO2">
        <v>0</v>
      </c>
      <c r="KP2">
        <v>0</v>
      </c>
      <c r="KQ2">
        <v>0</v>
      </c>
      <c r="KR2">
        <v>0</v>
      </c>
      <c r="KS2">
        <v>0</v>
      </c>
      <c r="KT2">
        <v>0</v>
      </c>
      <c r="KU2">
        <v>0</v>
      </c>
      <c r="KV2">
        <v>0</v>
      </c>
      <c r="KW2">
        <v>0</v>
      </c>
      <c r="KX2">
        <v>0</v>
      </c>
      <c r="KY2">
        <v>0</v>
      </c>
      <c r="KZ2">
        <v>1</v>
      </c>
      <c r="LA2">
        <v>0.5</v>
      </c>
      <c r="LB2">
        <v>1</v>
      </c>
      <c r="LC2">
        <v>4</v>
      </c>
      <c r="LD2">
        <v>0.7857142857142857</v>
      </c>
      <c r="LE2">
        <v>0.7857142857142857</v>
      </c>
      <c r="LF2">
        <v>0</v>
      </c>
      <c r="LG2">
        <v>0</v>
      </c>
      <c r="LH2">
        <v>0.41610738255033558</v>
      </c>
      <c r="LI2">
        <v>0.36912751677852351</v>
      </c>
      <c r="LJ2">
        <v>6.7114093959731542E-3</v>
      </c>
      <c r="LK2">
        <v>4.0268456375838924E-2</v>
      </c>
    </row>
    <row r="3" spans="1:323" x14ac:dyDescent="0.25">
      <c r="A3" t="s">
        <v>11</v>
      </c>
      <c r="B3" t="s">
        <v>57</v>
      </c>
      <c r="C3" t="s">
        <v>153</v>
      </c>
      <c r="D3">
        <v>2.1897810218978103E-2</v>
      </c>
      <c r="E3">
        <v>5.1094890510948905E-2</v>
      </c>
      <c r="F3">
        <v>0.20437956204379562</v>
      </c>
      <c r="G3">
        <v>0.43065693430656932</v>
      </c>
      <c r="H3">
        <v>0.29197080291970801</v>
      </c>
      <c r="I3">
        <v>1.1579818031430935E-2</v>
      </c>
      <c r="J3">
        <v>6.1621174524400329E-2</v>
      </c>
      <c r="K3">
        <v>0.21464019851116625</v>
      </c>
      <c r="L3">
        <v>0.44582299421009097</v>
      </c>
      <c r="M3">
        <v>0.26633581472291151</v>
      </c>
      <c r="N3">
        <v>0.6964285714285714</v>
      </c>
      <c r="O3">
        <v>0.3035714285714286</v>
      </c>
      <c r="P3">
        <v>0.65895953757225434</v>
      </c>
      <c r="Q3">
        <v>0.34104046242774566</v>
      </c>
      <c r="R3">
        <v>56</v>
      </c>
      <c r="S3">
        <v>54.589285714285715</v>
      </c>
      <c r="T3">
        <v>3</v>
      </c>
      <c r="U3">
        <v>12.642857142857142</v>
      </c>
      <c r="V3">
        <v>4.8571428571428568</v>
      </c>
      <c r="W3">
        <v>24.142857142857142</v>
      </c>
      <c r="X3">
        <v>519</v>
      </c>
      <c r="Y3">
        <v>55.188824662813104</v>
      </c>
      <c r="Z3">
        <v>40</v>
      </c>
      <c r="AA3">
        <v>12.921001926782274</v>
      </c>
      <c r="AB3">
        <v>4.5202312138728322</v>
      </c>
      <c r="AC3">
        <v>37.136801541425818</v>
      </c>
      <c r="AD3">
        <v>0.96721311475409832</v>
      </c>
      <c r="AE3">
        <v>0.60176557135850905</v>
      </c>
      <c r="AF3">
        <v>354</v>
      </c>
      <c r="AG3">
        <v>2454</v>
      </c>
      <c r="AH3">
        <v>2.7322404371584699E-3</v>
      </c>
      <c r="AI3">
        <v>0.37788131436978911</v>
      </c>
      <c r="AJ3">
        <v>1</v>
      </c>
      <c r="AK3">
        <v>1541</v>
      </c>
      <c r="AL3">
        <v>1.3661202185792349E-2</v>
      </c>
      <c r="AM3">
        <v>1.8391368317802845E-2</v>
      </c>
      <c r="AN3">
        <v>5</v>
      </c>
      <c r="AO3">
        <v>75</v>
      </c>
      <c r="AP3">
        <v>0</v>
      </c>
      <c r="AQ3">
        <v>0</v>
      </c>
      <c r="AR3">
        <v>0</v>
      </c>
      <c r="AS3">
        <v>0</v>
      </c>
      <c r="AT3">
        <v>1.6393442622950821E-2</v>
      </c>
      <c r="AU3">
        <v>1.9617459538989702E-3</v>
      </c>
      <c r="AV3">
        <v>6</v>
      </c>
      <c r="AW3">
        <v>8</v>
      </c>
      <c r="AX3">
        <v>0</v>
      </c>
      <c r="AY3">
        <v>0</v>
      </c>
      <c r="AZ3">
        <v>0</v>
      </c>
      <c r="BA3">
        <v>0</v>
      </c>
      <c r="BB3">
        <v>0.26785714285714285</v>
      </c>
      <c r="BC3">
        <v>7.5714285714285712</v>
      </c>
      <c r="BD3">
        <v>0</v>
      </c>
      <c r="BE3">
        <v>0</v>
      </c>
      <c r="BF3">
        <v>0</v>
      </c>
      <c r="BG3" s="116" t="s">
        <v>187</v>
      </c>
      <c r="BH3">
        <v>0.31021194605009633</v>
      </c>
      <c r="BI3">
        <v>7.2292870905587669</v>
      </c>
      <c r="BJ3">
        <v>6.1657032755298651E-2</v>
      </c>
      <c r="BK3">
        <v>1.3333333333333333</v>
      </c>
      <c r="BL3">
        <v>0</v>
      </c>
      <c r="BM3">
        <v>0</v>
      </c>
      <c r="BN3">
        <v>0.375</v>
      </c>
      <c r="BO3">
        <v>0.27024722932651324</v>
      </c>
      <c r="BP3">
        <v>102</v>
      </c>
      <c r="BQ3">
        <v>634</v>
      </c>
      <c r="BR3">
        <v>0.13602941176470587</v>
      </c>
      <c r="BS3">
        <v>0.15942028985507245</v>
      </c>
      <c r="BT3">
        <v>37</v>
      </c>
      <c r="BU3">
        <v>374</v>
      </c>
      <c r="BV3">
        <v>4.0441176470588237E-2</v>
      </c>
      <c r="BW3">
        <v>5.7971014492753624E-2</v>
      </c>
      <c r="BX3">
        <v>11</v>
      </c>
      <c r="BY3">
        <v>136</v>
      </c>
      <c r="BZ3">
        <v>4.779411764705882E-2</v>
      </c>
      <c r="CA3">
        <v>6.1381074168797956E-2</v>
      </c>
      <c r="CB3">
        <v>13</v>
      </c>
      <c r="CC3">
        <v>144</v>
      </c>
      <c r="CD3">
        <v>4.0441176470588237E-2</v>
      </c>
      <c r="CE3">
        <v>4.6035805626598467E-2</v>
      </c>
      <c r="CF3">
        <v>11</v>
      </c>
      <c r="CG3">
        <v>108</v>
      </c>
      <c r="CH3">
        <v>5.514705882352941E-2</v>
      </c>
      <c r="CI3">
        <v>3.7084398976982097E-2</v>
      </c>
      <c r="CJ3">
        <v>15</v>
      </c>
      <c r="CK3">
        <v>87</v>
      </c>
      <c r="CL3">
        <v>0</v>
      </c>
      <c r="CM3">
        <v>0</v>
      </c>
      <c r="CN3">
        <v>0</v>
      </c>
      <c r="CO3">
        <v>0</v>
      </c>
      <c r="CP3">
        <v>2.5735294117647058E-2</v>
      </c>
      <c r="CQ3">
        <v>3.239556692242114E-2</v>
      </c>
      <c r="CR3">
        <v>7</v>
      </c>
      <c r="CS3">
        <v>76</v>
      </c>
      <c r="CT3">
        <v>5.1470588235294115E-2</v>
      </c>
      <c r="CU3">
        <v>5.285592497868713E-2</v>
      </c>
      <c r="CV3">
        <v>14</v>
      </c>
      <c r="CW3">
        <v>124</v>
      </c>
      <c r="CX3">
        <v>0.22058823529411764</v>
      </c>
      <c r="CY3">
        <v>0.25191815856777494</v>
      </c>
      <c r="CZ3">
        <v>60</v>
      </c>
      <c r="DA3">
        <v>591</v>
      </c>
      <c r="DB3">
        <v>7.3529411764706731E-3</v>
      </c>
      <c r="DC3">
        <v>3.0690537084398839E-2</v>
      </c>
      <c r="DD3">
        <v>2.0000000000000231</v>
      </c>
      <c r="DE3">
        <v>12.43137254901975</v>
      </c>
      <c r="DF3">
        <v>0.10714285714285714</v>
      </c>
      <c r="DG3">
        <v>0.10597302504816955</v>
      </c>
      <c r="DH3">
        <v>6</v>
      </c>
      <c r="DI3">
        <v>55</v>
      </c>
      <c r="DJ3">
        <v>5.3571428571428568E-2</v>
      </c>
      <c r="DK3">
        <v>5.0096339113680152E-2</v>
      </c>
      <c r="DL3">
        <v>3</v>
      </c>
      <c r="DM3">
        <v>26</v>
      </c>
      <c r="DN3">
        <v>0.19642857142857142</v>
      </c>
      <c r="DO3">
        <v>0.13680154142581888</v>
      </c>
      <c r="DP3">
        <v>11</v>
      </c>
      <c r="DQ3">
        <v>71</v>
      </c>
      <c r="DR3">
        <v>0</v>
      </c>
      <c r="DS3">
        <v>1.9267822736030827E-2</v>
      </c>
      <c r="DT3">
        <v>0</v>
      </c>
      <c r="DU3">
        <v>10</v>
      </c>
      <c r="DV3">
        <v>1.7857142857142856E-2</v>
      </c>
      <c r="DW3">
        <v>9.8265895953757232E-2</v>
      </c>
      <c r="DX3">
        <v>1</v>
      </c>
      <c r="DY3">
        <v>51</v>
      </c>
      <c r="DZ3">
        <v>7.1428571428571425E-2</v>
      </c>
      <c r="EA3">
        <v>9.6339113680154145E-2</v>
      </c>
      <c r="EB3">
        <v>4</v>
      </c>
      <c r="EC3">
        <v>50</v>
      </c>
      <c r="ED3">
        <v>0.375</v>
      </c>
      <c r="EE3">
        <v>0.42003853564547206</v>
      </c>
      <c r="EF3">
        <v>21</v>
      </c>
      <c r="EG3">
        <v>218</v>
      </c>
      <c r="EH3">
        <v>0.1785714285714286</v>
      </c>
      <c r="EI3">
        <v>7.3217726396917149E-2</v>
      </c>
      <c r="EJ3">
        <v>10.000000000000002</v>
      </c>
      <c r="EK3">
        <v>38</v>
      </c>
      <c r="EL3">
        <v>0.8571428571428571</v>
      </c>
      <c r="EM3">
        <v>9.8265895953757232E-2</v>
      </c>
      <c r="EN3">
        <v>48</v>
      </c>
      <c r="EO3">
        <v>51</v>
      </c>
      <c r="EP3">
        <v>0</v>
      </c>
      <c r="EQ3">
        <v>7.7071290944123308E-2</v>
      </c>
      <c r="ER3">
        <v>0</v>
      </c>
      <c r="ES3">
        <v>40</v>
      </c>
      <c r="ET3">
        <v>0</v>
      </c>
      <c r="EU3">
        <v>0.50289017341040465</v>
      </c>
      <c r="EV3">
        <v>0</v>
      </c>
      <c r="EW3">
        <v>261</v>
      </c>
      <c r="EX3">
        <v>0</v>
      </c>
      <c r="EY3">
        <v>4.046242774566474E-2</v>
      </c>
      <c r="EZ3">
        <v>0</v>
      </c>
      <c r="FA3">
        <v>21</v>
      </c>
      <c r="FB3">
        <v>0</v>
      </c>
      <c r="FC3">
        <v>7.7071290944123308E-2</v>
      </c>
      <c r="FD3">
        <v>0</v>
      </c>
      <c r="FE3">
        <v>40</v>
      </c>
      <c r="FF3">
        <v>3.5714285714285712E-2</v>
      </c>
      <c r="FG3">
        <v>0.16955684007707128</v>
      </c>
      <c r="FH3">
        <v>2</v>
      </c>
      <c r="FI3">
        <v>88</v>
      </c>
      <c r="FJ3">
        <v>0.10714285714285714</v>
      </c>
      <c r="FK3">
        <v>3.4682080924855488E-2</v>
      </c>
      <c r="FL3">
        <v>6</v>
      </c>
      <c r="FM3">
        <v>18</v>
      </c>
      <c r="FN3">
        <v>11</v>
      </c>
      <c r="FO3">
        <v>108</v>
      </c>
      <c r="FP3">
        <v>11</v>
      </c>
      <c r="FQ3">
        <v>108</v>
      </c>
      <c r="FR3">
        <v>0.72727272727272729</v>
      </c>
      <c r="FS3">
        <v>7.407407407407407E-2</v>
      </c>
      <c r="FT3">
        <v>8</v>
      </c>
      <c r="FU3">
        <v>8</v>
      </c>
      <c r="FV3">
        <v>0</v>
      </c>
      <c r="FW3">
        <v>0</v>
      </c>
      <c r="FX3">
        <v>0</v>
      </c>
      <c r="FY3">
        <v>0</v>
      </c>
      <c r="FZ3">
        <v>0</v>
      </c>
      <c r="GA3">
        <v>0.45370370370370372</v>
      </c>
      <c r="GB3">
        <v>0</v>
      </c>
      <c r="GC3">
        <v>49</v>
      </c>
      <c r="GD3">
        <v>0</v>
      </c>
      <c r="GE3">
        <v>0</v>
      </c>
      <c r="GF3">
        <v>0</v>
      </c>
      <c r="GG3">
        <v>0</v>
      </c>
      <c r="GH3">
        <v>0</v>
      </c>
      <c r="GI3">
        <v>2.7777777777777776E-2</v>
      </c>
      <c r="GJ3">
        <v>0</v>
      </c>
      <c r="GK3">
        <v>3</v>
      </c>
      <c r="GL3">
        <v>0</v>
      </c>
      <c r="GM3">
        <v>0.37962962962962965</v>
      </c>
      <c r="GN3">
        <v>0</v>
      </c>
      <c r="GO3">
        <v>41</v>
      </c>
      <c r="GP3">
        <v>0.27272727272727271</v>
      </c>
      <c r="GQ3">
        <v>6.4814814814814811E-2</v>
      </c>
      <c r="GR3">
        <v>3</v>
      </c>
      <c r="GS3">
        <v>7</v>
      </c>
      <c r="GT3">
        <v>5.3571428571428568E-2</v>
      </c>
      <c r="GU3">
        <v>4.6242774566473986E-2</v>
      </c>
      <c r="GV3">
        <v>3</v>
      </c>
      <c r="GW3">
        <v>24</v>
      </c>
      <c r="GX3">
        <v>3.5714285714285712E-2</v>
      </c>
      <c r="GY3">
        <v>6.5510597302504817E-2</v>
      </c>
      <c r="GZ3">
        <v>2</v>
      </c>
      <c r="HA3">
        <v>34</v>
      </c>
      <c r="HB3">
        <v>0</v>
      </c>
      <c r="HC3">
        <v>0</v>
      </c>
      <c r="HD3">
        <v>0</v>
      </c>
      <c r="HE3">
        <v>0</v>
      </c>
      <c r="HF3">
        <v>0</v>
      </c>
      <c r="HG3">
        <v>0</v>
      </c>
      <c r="HH3">
        <v>0</v>
      </c>
      <c r="HI3">
        <v>0</v>
      </c>
      <c r="HJ3">
        <v>0</v>
      </c>
      <c r="HK3">
        <v>0</v>
      </c>
      <c r="HL3">
        <v>0</v>
      </c>
      <c r="HM3">
        <v>0</v>
      </c>
      <c r="HN3">
        <v>0</v>
      </c>
      <c r="HO3">
        <v>0</v>
      </c>
      <c r="HP3">
        <v>0</v>
      </c>
      <c r="HQ3">
        <v>0</v>
      </c>
      <c r="HR3">
        <v>0.9107142857142857</v>
      </c>
      <c r="HS3">
        <v>0.8554913294797688</v>
      </c>
      <c r="HT3">
        <v>51</v>
      </c>
      <c r="HU3">
        <v>444</v>
      </c>
      <c r="HV3">
        <v>0</v>
      </c>
      <c r="HW3">
        <v>3.2755298651252408E-2</v>
      </c>
      <c r="HX3">
        <v>0</v>
      </c>
      <c r="HY3">
        <v>17</v>
      </c>
      <c r="HZ3">
        <v>0.44444444444444442</v>
      </c>
      <c r="IA3">
        <v>0.47619047619047616</v>
      </c>
      <c r="IB3">
        <v>8</v>
      </c>
      <c r="IC3">
        <v>80</v>
      </c>
      <c r="ID3">
        <v>5.5555555555555552E-2</v>
      </c>
      <c r="IE3">
        <v>0.18452380952380953</v>
      </c>
      <c r="IF3">
        <v>1</v>
      </c>
      <c r="IG3">
        <v>31</v>
      </c>
      <c r="IH3">
        <v>0</v>
      </c>
      <c r="II3">
        <v>4.7619047619047616E-2</v>
      </c>
      <c r="IJ3">
        <v>0</v>
      </c>
      <c r="IK3">
        <v>8</v>
      </c>
      <c r="IL3">
        <v>0.22222222222222221</v>
      </c>
      <c r="IM3">
        <v>2.976190476190476E-2</v>
      </c>
      <c r="IN3">
        <v>4</v>
      </c>
      <c r="IO3">
        <v>5</v>
      </c>
      <c r="IP3">
        <v>0.27777777777777779</v>
      </c>
      <c r="IQ3">
        <v>0.26190476190476192</v>
      </c>
      <c r="IR3">
        <v>5</v>
      </c>
      <c r="IS3">
        <v>44</v>
      </c>
      <c r="IT3">
        <v>78</v>
      </c>
      <c r="IU3">
        <v>73.745614035087726</v>
      </c>
      <c r="IV3">
        <v>0.55555555555555558</v>
      </c>
      <c r="IW3">
        <v>0.53508771929824561</v>
      </c>
      <c r="IX3">
        <v>5</v>
      </c>
      <c r="IY3">
        <v>61</v>
      </c>
      <c r="IZ3">
        <v>0</v>
      </c>
      <c r="JA3">
        <v>0.14035087719298245</v>
      </c>
      <c r="JB3">
        <v>0</v>
      </c>
      <c r="JC3">
        <v>16</v>
      </c>
      <c r="JD3">
        <v>0</v>
      </c>
      <c r="JE3">
        <v>6.1403508771929821E-2</v>
      </c>
      <c r="JF3">
        <v>0</v>
      </c>
      <c r="JG3">
        <v>7</v>
      </c>
      <c r="JH3">
        <v>0.1111111111111111</v>
      </c>
      <c r="JI3">
        <v>1.7543859649122806E-2</v>
      </c>
      <c r="JJ3">
        <v>1</v>
      </c>
      <c r="JK3">
        <v>2</v>
      </c>
      <c r="JL3">
        <v>0.33333333333333331</v>
      </c>
      <c r="JM3">
        <v>0.24561403508771928</v>
      </c>
      <c r="JN3">
        <v>3</v>
      </c>
      <c r="JO3">
        <v>28</v>
      </c>
      <c r="JP3" s="116" t="s">
        <v>187</v>
      </c>
      <c r="JQ3">
        <v>0.2</v>
      </c>
      <c r="JR3">
        <v>0</v>
      </c>
      <c r="JS3">
        <v>6</v>
      </c>
      <c r="JT3" s="116" t="s">
        <v>187</v>
      </c>
      <c r="JU3">
        <v>0.66666666666666663</v>
      </c>
      <c r="JV3">
        <v>0</v>
      </c>
      <c r="JW3">
        <v>20</v>
      </c>
      <c r="JX3" s="116" t="s">
        <v>187</v>
      </c>
      <c r="JY3">
        <v>0</v>
      </c>
      <c r="JZ3">
        <v>0</v>
      </c>
      <c r="KA3">
        <v>0</v>
      </c>
      <c r="KB3" s="116" t="s">
        <v>187</v>
      </c>
      <c r="KC3">
        <v>0</v>
      </c>
      <c r="KD3">
        <v>0</v>
      </c>
      <c r="KE3">
        <v>0</v>
      </c>
      <c r="KF3" s="116" t="s">
        <v>187</v>
      </c>
      <c r="KG3">
        <v>0.1333333333333333</v>
      </c>
      <c r="KH3">
        <v>0</v>
      </c>
      <c r="KI3">
        <v>4</v>
      </c>
      <c r="KJ3" s="116" t="s">
        <v>187</v>
      </c>
      <c r="KK3">
        <v>0.1</v>
      </c>
      <c r="KL3">
        <v>0</v>
      </c>
      <c r="KM3">
        <v>3</v>
      </c>
      <c r="KN3" s="116" t="s">
        <v>187</v>
      </c>
      <c r="KO3">
        <v>0.23333333333333334</v>
      </c>
      <c r="KP3">
        <v>0</v>
      </c>
      <c r="KQ3">
        <v>7</v>
      </c>
      <c r="KR3" s="116" t="s">
        <v>187</v>
      </c>
      <c r="KS3">
        <v>0.13333333333333333</v>
      </c>
      <c r="KT3">
        <v>0</v>
      </c>
      <c r="KU3">
        <v>4</v>
      </c>
      <c r="KV3" s="116" t="s">
        <v>187</v>
      </c>
      <c r="KW3">
        <v>0.16666666666666666</v>
      </c>
      <c r="KX3">
        <v>0</v>
      </c>
      <c r="KY3">
        <v>5</v>
      </c>
      <c r="KZ3" s="116" t="s">
        <v>187</v>
      </c>
      <c r="LA3">
        <v>0.3666666666666667</v>
      </c>
      <c r="LB3">
        <v>0</v>
      </c>
      <c r="LC3">
        <v>11</v>
      </c>
      <c r="LD3">
        <v>0.375</v>
      </c>
      <c r="LE3">
        <v>0.3392857142857143</v>
      </c>
      <c r="LF3">
        <v>0</v>
      </c>
      <c r="LG3">
        <v>3.5714285714285698E-2</v>
      </c>
      <c r="LH3">
        <v>0.39691714836223507</v>
      </c>
      <c r="LI3">
        <v>0.34874759152215801</v>
      </c>
      <c r="LJ3">
        <v>9.6339113680154135E-3</v>
      </c>
      <c r="LK3">
        <v>3.8535645472061675E-2</v>
      </c>
    </row>
    <row r="4" spans="1:323" x14ac:dyDescent="0.25">
      <c r="A4" t="s">
        <v>11</v>
      </c>
      <c r="B4" t="s">
        <v>58</v>
      </c>
      <c r="C4" t="s">
        <v>154</v>
      </c>
      <c r="D4">
        <v>2.1897810218978103E-2</v>
      </c>
      <c r="E4">
        <v>5.1094890510948905E-2</v>
      </c>
      <c r="F4">
        <v>0.20437956204379562</v>
      </c>
      <c r="G4">
        <v>0.43065693430656932</v>
      </c>
      <c r="H4">
        <v>0.29197080291970801</v>
      </c>
      <c r="I4">
        <v>1.1579818031430935E-2</v>
      </c>
      <c r="J4">
        <v>6.1621174524400329E-2</v>
      </c>
      <c r="K4">
        <v>0.21464019851116625</v>
      </c>
      <c r="L4">
        <v>0.44582299421009097</v>
      </c>
      <c r="M4">
        <v>0.26633581472291151</v>
      </c>
      <c r="N4">
        <v>0.77118644067796616</v>
      </c>
      <c r="O4">
        <v>0.22881355932203384</v>
      </c>
      <c r="P4">
        <v>0.74953617810760664</v>
      </c>
      <c r="Q4">
        <v>0.25046382189239336</v>
      </c>
      <c r="R4">
        <v>118</v>
      </c>
      <c r="S4">
        <v>66.644067796610173</v>
      </c>
      <c r="T4">
        <v>14</v>
      </c>
      <c r="U4">
        <v>9.3813559322033893</v>
      </c>
      <c r="V4">
        <v>4.4915254237288131</v>
      </c>
      <c r="W4">
        <v>24.177966101694917</v>
      </c>
      <c r="X4">
        <v>1078</v>
      </c>
      <c r="Y4">
        <v>66.545454545454547</v>
      </c>
      <c r="Z4">
        <v>117</v>
      </c>
      <c r="AA4">
        <v>11.397959183673469</v>
      </c>
      <c r="AB4">
        <v>4.1419294990723561</v>
      </c>
      <c r="AC4">
        <v>33.974953617810762</v>
      </c>
      <c r="AD4">
        <v>0.87668918918918914</v>
      </c>
      <c r="AE4">
        <v>0.54749015748031493</v>
      </c>
      <c r="AF4">
        <v>519</v>
      </c>
      <c r="AG4">
        <v>4450</v>
      </c>
      <c r="AH4">
        <v>9.6283783783783786E-2</v>
      </c>
      <c r="AI4">
        <v>0.43085629921259844</v>
      </c>
      <c r="AJ4">
        <v>57</v>
      </c>
      <c r="AK4">
        <v>3502</v>
      </c>
      <c r="AL4">
        <v>2.1959459459459461E-2</v>
      </c>
      <c r="AM4">
        <v>1.7470472440944882E-2</v>
      </c>
      <c r="AN4">
        <v>13</v>
      </c>
      <c r="AO4">
        <v>142</v>
      </c>
      <c r="AP4">
        <v>3.3783783783783786E-3</v>
      </c>
      <c r="AQ4">
        <v>1.3533464566929134E-3</v>
      </c>
      <c r="AR4">
        <v>2</v>
      </c>
      <c r="AS4">
        <v>11</v>
      </c>
      <c r="AT4">
        <v>1.6891891891891893E-3</v>
      </c>
      <c r="AU4">
        <v>2.7066929133858267E-3</v>
      </c>
      <c r="AV4">
        <v>1</v>
      </c>
      <c r="AW4">
        <v>22</v>
      </c>
      <c r="AX4">
        <v>0</v>
      </c>
      <c r="AY4">
        <v>1.2303149606299212E-4</v>
      </c>
      <c r="AZ4">
        <v>0</v>
      </c>
      <c r="BA4">
        <v>1</v>
      </c>
      <c r="BB4">
        <v>0.55084745762711862</v>
      </c>
      <c r="BC4">
        <v>11.822033898305085</v>
      </c>
      <c r="BD4">
        <v>0.1271186440677966</v>
      </c>
      <c r="BE4">
        <v>2.4491525423728815</v>
      </c>
      <c r="BF4">
        <v>2.5423728813559324E-2</v>
      </c>
      <c r="BG4" s="116" t="s">
        <v>187</v>
      </c>
      <c r="BH4">
        <v>0.3432282003710575</v>
      </c>
      <c r="BI4">
        <v>8.3079777365491658</v>
      </c>
      <c r="BJ4">
        <v>6.4007421150278299E-2</v>
      </c>
      <c r="BK4">
        <v>1.5213358070500929</v>
      </c>
      <c r="BL4">
        <v>7.4211502782931356E-3</v>
      </c>
      <c r="BM4">
        <v>0.13636363636363635</v>
      </c>
      <c r="BN4">
        <v>0.23962264150943396</v>
      </c>
      <c r="BO4">
        <v>0.19955207166853303</v>
      </c>
      <c r="BP4">
        <v>127</v>
      </c>
      <c r="BQ4">
        <v>891</v>
      </c>
      <c r="BR4">
        <v>0.16037735849056603</v>
      </c>
      <c r="BS4">
        <v>0.18096304591265397</v>
      </c>
      <c r="BT4">
        <v>85</v>
      </c>
      <c r="BU4">
        <v>808</v>
      </c>
      <c r="BV4">
        <v>5.2830188679245285E-2</v>
      </c>
      <c r="BW4">
        <v>5.4647256438969762E-2</v>
      </c>
      <c r="BX4">
        <v>28</v>
      </c>
      <c r="BY4">
        <v>244</v>
      </c>
      <c r="BZ4">
        <v>5.0943396226415097E-2</v>
      </c>
      <c r="CA4">
        <v>6.2933930571108618E-2</v>
      </c>
      <c r="CB4">
        <v>27</v>
      </c>
      <c r="CC4">
        <v>281</v>
      </c>
      <c r="CD4">
        <v>5.2830188679245285E-2</v>
      </c>
      <c r="CE4">
        <v>5.6886898096304594E-2</v>
      </c>
      <c r="CF4">
        <v>28</v>
      </c>
      <c r="CG4">
        <v>254</v>
      </c>
      <c r="CH4">
        <v>3.7735849056603772E-2</v>
      </c>
      <c r="CI4">
        <v>4.0985442329227323E-2</v>
      </c>
      <c r="CJ4">
        <v>20</v>
      </c>
      <c r="CK4">
        <v>183</v>
      </c>
      <c r="CL4">
        <v>0</v>
      </c>
      <c r="CM4">
        <v>0</v>
      </c>
      <c r="CN4">
        <v>0</v>
      </c>
      <c r="CO4">
        <v>0</v>
      </c>
      <c r="CP4">
        <v>2.0754716981132074E-2</v>
      </c>
      <c r="CQ4">
        <v>2.553191489361702E-2</v>
      </c>
      <c r="CR4">
        <v>11</v>
      </c>
      <c r="CS4">
        <v>114</v>
      </c>
      <c r="CT4">
        <v>5.849056603773585E-2</v>
      </c>
      <c r="CU4">
        <v>5.3751399776035831E-2</v>
      </c>
      <c r="CV4">
        <v>31</v>
      </c>
      <c r="CW4">
        <v>240</v>
      </c>
      <c r="CX4">
        <v>0.30188679245283018</v>
      </c>
      <c r="CY4">
        <v>0.29832026875699891</v>
      </c>
      <c r="CZ4">
        <v>160</v>
      </c>
      <c r="DA4">
        <v>1332</v>
      </c>
      <c r="DB4">
        <v>2.4528301886792558E-2</v>
      </c>
      <c r="DC4">
        <v>2.642777155655085E-2</v>
      </c>
      <c r="DD4">
        <v>13.000000000000055</v>
      </c>
      <c r="DE4">
        <v>91.204724409449213</v>
      </c>
      <c r="DF4">
        <v>8.4745762711864403E-2</v>
      </c>
      <c r="DG4">
        <v>9.9257884972170682E-2</v>
      </c>
      <c r="DH4">
        <v>10</v>
      </c>
      <c r="DI4">
        <v>107</v>
      </c>
      <c r="DJ4">
        <v>8.4745762711864403E-2</v>
      </c>
      <c r="DK4">
        <v>5.1948051948051951E-2</v>
      </c>
      <c r="DL4">
        <v>10</v>
      </c>
      <c r="DM4">
        <v>56</v>
      </c>
      <c r="DN4">
        <v>0.10169491525423729</v>
      </c>
      <c r="DO4">
        <v>0.13358070500927643</v>
      </c>
      <c r="DP4">
        <v>12</v>
      </c>
      <c r="DQ4">
        <v>144</v>
      </c>
      <c r="DR4">
        <v>1.6949152542372881E-2</v>
      </c>
      <c r="DS4">
        <v>2.8756957328385901E-2</v>
      </c>
      <c r="DT4">
        <v>2</v>
      </c>
      <c r="DU4">
        <v>31</v>
      </c>
      <c r="DV4">
        <v>4.2372881355932202E-2</v>
      </c>
      <c r="DW4">
        <v>6.4007421150278299E-2</v>
      </c>
      <c r="DX4">
        <v>5</v>
      </c>
      <c r="DY4">
        <v>69</v>
      </c>
      <c r="DZ4">
        <v>7.6271186440677971E-2</v>
      </c>
      <c r="EA4">
        <v>0.1038961038961039</v>
      </c>
      <c r="EB4">
        <v>9</v>
      </c>
      <c r="EC4">
        <v>112</v>
      </c>
      <c r="ED4">
        <v>0.4576271186440678</v>
      </c>
      <c r="EE4">
        <v>0.44434137291280146</v>
      </c>
      <c r="EF4">
        <v>54</v>
      </c>
      <c r="EG4">
        <v>479</v>
      </c>
      <c r="EH4">
        <v>0.13559322033898302</v>
      </c>
      <c r="EI4">
        <v>7.4211502782931316E-2</v>
      </c>
      <c r="EJ4">
        <v>15.999999999999998</v>
      </c>
      <c r="EK4">
        <v>79.999999999999957</v>
      </c>
      <c r="EL4">
        <v>0.82203389830508478</v>
      </c>
      <c r="EM4">
        <v>9.5547309833024119E-2</v>
      </c>
      <c r="EN4">
        <v>97</v>
      </c>
      <c r="EO4">
        <v>103</v>
      </c>
      <c r="EP4">
        <v>0</v>
      </c>
      <c r="EQ4">
        <v>8.1632653061224483E-2</v>
      </c>
      <c r="ER4">
        <v>0</v>
      </c>
      <c r="ES4">
        <v>88</v>
      </c>
      <c r="ET4">
        <v>1.6949152542372881E-2</v>
      </c>
      <c r="EU4">
        <v>0.50371057513914652</v>
      </c>
      <c r="EV4">
        <v>2</v>
      </c>
      <c r="EW4">
        <v>543</v>
      </c>
      <c r="EX4">
        <v>1.6949152542372881E-2</v>
      </c>
      <c r="EY4">
        <v>4.6382189239332093E-2</v>
      </c>
      <c r="EZ4">
        <v>2</v>
      </c>
      <c r="FA4">
        <v>50</v>
      </c>
      <c r="FB4">
        <v>0</v>
      </c>
      <c r="FC4">
        <v>6.5862708719851573E-2</v>
      </c>
      <c r="FD4">
        <v>0</v>
      </c>
      <c r="FE4">
        <v>71</v>
      </c>
      <c r="FF4">
        <v>4.2372881355932202E-2</v>
      </c>
      <c r="FG4">
        <v>0.14935064935064934</v>
      </c>
      <c r="FH4">
        <v>5</v>
      </c>
      <c r="FI4">
        <v>161</v>
      </c>
      <c r="FJ4">
        <v>0.10169491525423729</v>
      </c>
      <c r="FK4">
        <v>5.7513914656771803E-2</v>
      </c>
      <c r="FL4">
        <v>12</v>
      </c>
      <c r="FM4">
        <v>62</v>
      </c>
      <c r="FN4">
        <v>28</v>
      </c>
      <c r="FO4">
        <v>254</v>
      </c>
      <c r="FP4">
        <v>28</v>
      </c>
      <c r="FQ4">
        <v>254</v>
      </c>
      <c r="FR4">
        <v>0.7142857142857143</v>
      </c>
      <c r="FS4">
        <v>7.874015748031496E-2</v>
      </c>
      <c r="FT4">
        <v>20</v>
      </c>
      <c r="FU4">
        <v>20</v>
      </c>
      <c r="FV4">
        <v>0</v>
      </c>
      <c r="FW4">
        <v>0</v>
      </c>
      <c r="FX4">
        <v>0</v>
      </c>
      <c r="FY4">
        <v>0</v>
      </c>
      <c r="FZ4">
        <v>0</v>
      </c>
      <c r="GA4">
        <v>0.48031496062992124</v>
      </c>
      <c r="GB4">
        <v>0</v>
      </c>
      <c r="GC4">
        <v>122</v>
      </c>
      <c r="GD4">
        <v>0</v>
      </c>
      <c r="GE4">
        <v>0</v>
      </c>
      <c r="GF4">
        <v>0</v>
      </c>
      <c r="GG4">
        <v>0</v>
      </c>
      <c r="GH4">
        <v>0</v>
      </c>
      <c r="GI4">
        <v>5.1181102362204724E-2</v>
      </c>
      <c r="GJ4">
        <v>0</v>
      </c>
      <c r="GK4">
        <v>13</v>
      </c>
      <c r="GL4">
        <v>0.14285714285714285</v>
      </c>
      <c r="GM4">
        <v>0.29527559055118108</v>
      </c>
      <c r="GN4">
        <v>4</v>
      </c>
      <c r="GO4">
        <v>75</v>
      </c>
      <c r="GP4">
        <v>0.14285714285714285</v>
      </c>
      <c r="GQ4">
        <v>9.4488188976377951E-2</v>
      </c>
      <c r="GR4">
        <v>4</v>
      </c>
      <c r="GS4">
        <v>24</v>
      </c>
      <c r="GT4">
        <v>1.6949152542372881E-2</v>
      </c>
      <c r="GU4">
        <v>3.7105751391465679E-2</v>
      </c>
      <c r="GV4">
        <v>2</v>
      </c>
      <c r="GW4">
        <v>40</v>
      </c>
      <c r="GX4">
        <v>6.7796610169491525E-2</v>
      </c>
      <c r="GY4">
        <v>7.2356215213358069E-2</v>
      </c>
      <c r="GZ4">
        <v>8</v>
      </c>
      <c r="HA4">
        <v>78</v>
      </c>
      <c r="HB4">
        <v>0</v>
      </c>
      <c r="HC4">
        <v>9.2764378478664194E-4</v>
      </c>
      <c r="HD4">
        <v>0</v>
      </c>
      <c r="HE4">
        <v>1</v>
      </c>
      <c r="HF4">
        <v>0</v>
      </c>
      <c r="HG4">
        <v>9.2764378478664194E-4</v>
      </c>
      <c r="HH4">
        <v>0</v>
      </c>
      <c r="HI4">
        <v>1</v>
      </c>
      <c r="HJ4">
        <v>0</v>
      </c>
      <c r="HK4">
        <v>0</v>
      </c>
      <c r="HL4">
        <v>0</v>
      </c>
      <c r="HM4">
        <v>0</v>
      </c>
      <c r="HN4">
        <v>0</v>
      </c>
      <c r="HO4">
        <v>0</v>
      </c>
      <c r="HP4">
        <v>0</v>
      </c>
      <c r="HQ4">
        <v>0</v>
      </c>
      <c r="HR4">
        <v>0.85593220338983056</v>
      </c>
      <c r="HS4">
        <v>0.81168831168831168</v>
      </c>
      <c r="HT4">
        <v>101</v>
      </c>
      <c r="HU4">
        <v>875</v>
      </c>
      <c r="HV4">
        <v>5.9322033898305086E-2</v>
      </c>
      <c r="HW4">
        <v>7.6994434137291276E-2</v>
      </c>
      <c r="HX4">
        <v>7</v>
      </c>
      <c r="HY4">
        <v>83</v>
      </c>
      <c r="HZ4">
        <v>0.37681159420289856</v>
      </c>
      <c r="IA4">
        <v>0.4921875</v>
      </c>
      <c r="IB4">
        <v>26</v>
      </c>
      <c r="IC4">
        <v>189</v>
      </c>
      <c r="ID4">
        <v>0.11594202898550725</v>
      </c>
      <c r="IE4">
        <v>0.16927083333333334</v>
      </c>
      <c r="IF4">
        <v>8</v>
      </c>
      <c r="IG4">
        <v>65</v>
      </c>
      <c r="IH4">
        <v>4.3478260869565216E-2</v>
      </c>
      <c r="II4">
        <v>5.46875E-2</v>
      </c>
      <c r="IJ4">
        <v>3</v>
      </c>
      <c r="IK4">
        <v>21</v>
      </c>
      <c r="IL4">
        <v>0.15942028985507245</v>
      </c>
      <c r="IM4">
        <v>4.9479166666666664E-2</v>
      </c>
      <c r="IN4">
        <v>11</v>
      </c>
      <c r="IO4">
        <v>19</v>
      </c>
      <c r="IP4">
        <v>0.30434782608695654</v>
      </c>
      <c r="IQ4">
        <v>0.234375</v>
      </c>
      <c r="IR4">
        <v>21</v>
      </c>
      <c r="IS4">
        <v>90</v>
      </c>
      <c r="IT4">
        <v>54.333333333333336</v>
      </c>
      <c r="IU4">
        <v>73.793893129770993</v>
      </c>
      <c r="IV4">
        <v>0.48484848484848486</v>
      </c>
      <c r="IW4">
        <v>0.58778625954198471</v>
      </c>
      <c r="IX4">
        <v>16</v>
      </c>
      <c r="IY4">
        <v>154</v>
      </c>
      <c r="IZ4">
        <v>9.0909090909090912E-2</v>
      </c>
      <c r="JA4">
        <v>0.14503816793893129</v>
      </c>
      <c r="JB4">
        <v>3</v>
      </c>
      <c r="JC4">
        <v>38</v>
      </c>
      <c r="JD4">
        <v>0</v>
      </c>
      <c r="JE4">
        <v>5.7251908396946563E-2</v>
      </c>
      <c r="JF4">
        <v>0</v>
      </c>
      <c r="JG4">
        <v>15</v>
      </c>
      <c r="JH4">
        <v>0.15151515151515152</v>
      </c>
      <c r="JI4">
        <v>3.8167938931297711E-2</v>
      </c>
      <c r="JJ4">
        <v>5</v>
      </c>
      <c r="JK4">
        <v>10</v>
      </c>
      <c r="JL4">
        <v>0.27272727272727271</v>
      </c>
      <c r="JM4">
        <v>0.1717557251908397</v>
      </c>
      <c r="JN4">
        <v>9</v>
      </c>
      <c r="JO4">
        <v>45</v>
      </c>
      <c r="JP4">
        <v>0</v>
      </c>
      <c r="JQ4">
        <v>5.6338028169014086E-2</v>
      </c>
      <c r="JR4">
        <v>0</v>
      </c>
      <c r="JS4">
        <v>4</v>
      </c>
      <c r="JT4">
        <v>0.73333333333333328</v>
      </c>
      <c r="JU4">
        <v>0.647887323943662</v>
      </c>
      <c r="JV4">
        <v>11</v>
      </c>
      <c r="JW4">
        <v>46</v>
      </c>
      <c r="JX4">
        <v>0.2</v>
      </c>
      <c r="JY4">
        <v>0.12676056338028169</v>
      </c>
      <c r="JZ4">
        <v>3</v>
      </c>
      <c r="KA4">
        <v>9</v>
      </c>
      <c r="KB4">
        <v>0</v>
      </c>
      <c r="KC4">
        <v>7.0422535211267609E-2</v>
      </c>
      <c r="KD4">
        <v>0</v>
      </c>
      <c r="KE4">
        <v>5</v>
      </c>
      <c r="KF4">
        <v>6.6666666666666652E-2</v>
      </c>
      <c r="KG4">
        <v>9.8591549295774628E-2</v>
      </c>
      <c r="KH4">
        <v>1</v>
      </c>
      <c r="KI4">
        <v>7</v>
      </c>
      <c r="KJ4">
        <v>6.6666666666666666E-2</v>
      </c>
      <c r="KK4">
        <v>0.21126760563380281</v>
      </c>
      <c r="KL4">
        <v>1</v>
      </c>
      <c r="KM4">
        <v>15</v>
      </c>
      <c r="KN4">
        <v>0</v>
      </c>
      <c r="KO4">
        <v>0.14084507042253522</v>
      </c>
      <c r="KP4">
        <v>0</v>
      </c>
      <c r="KQ4">
        <v>10</v>
      </c>
      <c r="KR4">
        <v>0.46666666666666667</v>
      </c>
      <c r="KS4">
        <v>0.19718309859154928</v>
      </c>
      <c r="KT4">
        <v>7</v>
      </c>
      <c r="KU4">
        <v>14</v>
      </c>
      <c r="KV4">
        <v>0</v>
      </c>
      <c r="KW4">
        <v>5.6338028169014086E-2</v>
      </c>
      <c r="KX4">
        <v>0</v>
      </c>
      <c r="KY4">
        <v>4</v>
      </c>
      <c r="KZ4">
        <v>0.46666666666666667</v>
      </c>
      <c r="LA4">
        <v>0.39436619718309862</v>
      </c>
      <c r="LB4">
        <v>7</v>
      </c>
      <c r="LC4">
        <v>28</v>
      </c>
      <c r="LD4">
        <v>0.39830508474576271</v>
      </c>
      <c r="LE4">
        <v>0.33898305084745761</v>
      </c>
      <c r="LF4">
        <v>8.4745762711864406E-3</v>
      </c>
      <c r="LG4">
        <v>5.0847457627118675E-2</v>
      </c>
      <c r="LH4">
        <v>0.41651205936920221</v>
      </c>
      <c r="LI4">
        <v>0.3784786641929499</v>
      </c>
      <c r="LJ4">
        <v>1.1131725417439703E-2</v>
      </c>
      <c r="LK4">
        <v>2.6901669758812585E-2</v>
      </c>
    </row>
    <row r="5" spans="1:323" x14ac:dyDescent="0.25">
      <c r="A5" t="s">
        <v>11</v>
      </c>
      <c r="B5" t="s">
        <v>59</v>
      </c>
      <c r="C5" t="s">
        <v>155</v>
      </c>
      <c r="D5">
        <v>2.1897810218978103E-2</v>
      </c>
      <c r="E5">
        <v>5.1094890510948905E-2</v>
      </c>
      <c r="F5">
        <v>0.20437956204379562</v>
      </c>
      <c r="G5">
        <v>0.43065693430656932</v>
      </c>
      <c r="H5">
        <v>0.29197080291970801</v>
      </c>
      <c r="I5">
        <v>1.1579818031430935E-2</v>
      </c>
      <c r="J5">
        <v>6.1621174524400329E-2</v>
      </c>
      <c r="K5">
        <v>0.21464019851116625</v>
      </c>
      <c r="L5">
        <v>0.44582299421009097</v>
      </c>
      <c r="M5">
        <v>0.26633581472291151</v>
      </c>
      <c r="N5">
        <v>0.6875</v>
      </c>
      <c r="O5">
        <v>0.3125</v>
      </c>
      <c r="P5">
        <v>0.7003105590062112</v>
      </c>
      <c r="Q5">
        <v>0.2996894409937888</v>
      </c>
      <c r="R5">
        <v>80</v>
      </c>
      <c r="S5">
        <v>80.712500000000006</v>
      </c>
      <c r="T5">
        <v>15</v>
      </c>
      <c r="U5">
        <v>5.7874999999999996</v>
      </c>
      <c r="V5">
        <v>3.2</v>
      </c>
      <c r="W5">
        <v>18.675000000000001</v>
      </c>
      <c r="X5">
        <v>644</v>
      </c>
      <c r="Y5">
        <v>80.83229813664596</v>
      </c>
      <c r="Z5">
        <v>136</v>
      </c>
      <c r="AA5">
        <v>6.2204968944099379</v>
      </c>
      <c r="AB5">
        <v>3.0077639751552794</v>
      </c>
      <c r="AC5">
        <v>25.451863354037268</v>
      </c>
      <c r="AD5">
        <v>0.98130841121495327</v>
      </c>
      <c r="AE5">
        <v>0.68690095846645371</v>
      </c>
      <c r="AF5">
        <v>210</v>
      </c>
      <c r="AG5">
        <v>1505</v>
      </c>
      <c r="AH5">
        <v>0</v>
      </c>
      <c r="AI5">
        <v>0.25011410314924692</v>
      </c>
      <c r="AJ5">
        <v>0</v>
      </c>
      <c r="AK5">
        <v>548</v>
      </c>
      <c r="AL5">
        <v>1.8691588785046728E-2</v>
      </c>
      <c r="AM5">
        <v>2.4189867640346873E-2</v>
      </c>
      <c r="AN5">
        <v>4</v>
      </c>
      <c r="AO5">
        <v>53</v>
      </c>
      <c r="AP5">
        <v>0</v>
      </c>
      <c r="AQ5">
        <v>3.8795070743952532E-2</v>
      </c>
      <c r="AR5">
        <v>0</v>
      </c>
      <c r="AS5">
        <v>85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0.38750000000000001</v>
      </c>
      <c r="BC5">
        <v>8</v>
      </c>
      <c r="BD5">
        <v>0.125</v>
      </c>
      <c r="BE5">
        <v>2.35</v>
      </c>
      <c r="BF5">
        <v>1.2500000000000001E-2</v>
      </c>
      <c r="BG5" s="116" t="s">
        <v>187</v>
      </c>
      <c r="BH5">
        <v>0.34937888198757766</v>
      </c>
      <c r="BI5">
        <v>8.9145962732919255</v>
      </c>
      <c r="BJ5">
        <v>6.8322981366459631E-2</v>
      </c>
      <c r="BK5">
        <v>2.4798136645962732</v>
      </c>
      <c r="BL5">
        <v>4.658385093167702E-3</v>
      </c>
      <c r="BM5">
        <v>0.12111801242236025</v>
      </c>
      <c r="BN5">
        <v>0.1328125</v>
      </c>
      <c r="BO5">
        <v>9.2927207021166747E-2</v>
      </c>
      <c r="BP5">
        <v>34</v>
      </c>
      <c r="BQ5">
        <v>180</v>
      </c>
      <c r="BR5">
        <v>0.25</v>
      </c>
      <c r="BS5">
        <v>0.27826535880227155</v>
      </c>
      <c r="BT5">
        <v>64</v>
      </c>
      <c r="BU5">
        <v>539</v>
      </c>
      <c r="BV5">
        <v>6.25E-2</v>
      </c>
      <c r="BW5">
        <v>7.7955601445534331E-2</v>
      </c>
      <c r="BX5">
        <v>16</v>
      </c>
      <c r="BY5">
        <v>151</v>
      </c>
      <c r="BZ5">
        <v>4.6875E-2</v>
      </c>
      <c r="CA5">
        <v>4.4914816726897261E-2</v>
      </c>
      <c r="CB5">
        <v>12</v>
      </c>
      <c r="CC5">
        <v>87</v>
      </c>
      <c r="CD5">
        <v>4.6875E-2</v>
      </c>
      <c r="CE5">
        <v>4.2849767681982447E-2</v>
      </c>
      <c r="CF5">
        <v>12</v>
      </c>
      <c r="CG5">
        <v>83</v>
      </c>
      <c r="CH5">
        <v>4.296875E-2</v>
      </c>
      <c r="CI5">
        <v>3.4589571502323183E-2</v>
      </c>
      <c r="CJ5">
        <v>11</v>
      </c>
      <c r="CK5">
        <v>67</v>
      </c>
      <c r="CL5">
        <v>0</v>
      </c>
      <c r="CM5">
        <v>0</v>
      </c>
      <c r="CN5">
        <v>0</v>
      </c>
      <c r="CO5">
        <v>0</v>
      </c>
      <c r="CP5">
        <v>1.5625E-2</v>
      </c>
      <c r="CQ5">
        <v>3.7170882808466699E-2</v>
      </c>
      <c r="CR5">
        <v>4</v>
      </c>
      <c r="CS5">
        <v>72</v>
      </c>
      <c r="CT5">
        <v>6.640625E-2</v>
      </c>
      <c r="CU5">
        <v>5.7305110996386167E-2</v>
      </c>
      <c r="CV5">
        <v>17</v>
      </c>
      <c r="CW5">
        <v>111</v>
      </c>
      <c r="CX5">
        <v>0.30859375</v>
      </c>
      <c r="CY5">
        <v>0.31078988125967993</v>
      </c>
      <c r="CZ5">
        <v>79</v>
      </c>
      <c r="DA5">
        <v>602</v>
      </c>
      <c r="DB5">
        <v>2.734375E-2</v>
      </c>
      <c r="DC5">
        <v>2.3231801755291714E-2</v>
      </c>
      <c r="DD5">
        <v>7</v>
      </c>
      <c r="DE5">
        <v>37.058823529411768</v>
      </c>
      <c r="DF5">
        <v>6.25E-2</v>
      </c>
      <c r="DG5">
        <v>6.9875776397515521E-2</v>
      </c>
      <c r="DH5">
        <v>5</v>
      </c>
      <c r="DI5">
        <v>45</v>
      </c>
      <c r="DJ5">
        <v>6.25E-2</v>
      </c>
      <c r="DK5">
        <v>2.4844720496894408E-2</v>
      </c>
      <c r="DL5">
        <v>5</v>
      </c>
      <c r="DM5">
        <v>16</v>
      </c>
      <c r="DN5">
        <v>0.1125</v>
      </c>
      <c r="DO5">
        <v>9.3167701863354033E-2</v>
      </c>
      <c r="DP5">
        <v>9</v>
      </c>
      <c r="DQ5">
        <v>60</v>
      </c>
      <c r="DR5">
        <v>7.4999999999999997E-2</v>
      </c>
      <c r="DS5">
        <v>5.5900621118012424E-2</v>
      </c>
      <c r="DT5">
        <v>6</v>
      </c>
      <c r="DU5">
        <v>36</v>
      </c>
      <c r="DV5">
        <v>0</v>
      </c>
      <c r="DW5">
        <v>3.1055900621118012E-2</v>
      </c>
      <c r="DX5">
        <v>0</v>
      </c>
      <c r="DY5">
        <v>20</v>
      </c>
      <c r="DZ5">
        <v>0.05</v>
      </c>
      <c r="EA5">
        <v>7.2981366459627328E-2</v>
      </c>
      <c r="EB5">
        <v>4</v>
      </c>
      <c r="EC5">
        <v>47</v>
      </c>
      <c r="ED5">
        <v>0.57499999999999996</v>
      </c>
      <c r="EE5">
        <v>0.59472049689440998</v>
      </c>
      <c r="EF5">
        <v>46</v>
      </c>
      <c r="EG5">
        <v>383</v>
      </c>
      <c r="EH5">
        <v>6.25E-2</v>
      </c>
      <c r="EI5">
        <v>5.7453416149068293E-2</v>
      </c>
      <c r="EJ5">
        <v>5</v>
      </c>
      <c r="EK5">
        <v>36.999999999999986</v>
      </c>
      <c r="EL5">
        <v>0.9375</v>
      </c>
      <c r="EM5">
        <v>0.11801242236024845</v>
      </c>
      <c r="EN5">
        <v>75</v>
      </c>
      <c r="EO5">
        <v>76</v>
      </c>
      <c r="EP5">
        <v>0</v>
      </c>
      <c r="EQ5">
        <v>7.1428571428571425E-2</v>
      </c>
      <c r="ER5">
        <v>0</v>
      </c>
      <c r="ES5">
        <v>46</v>
      </c>
      <c r="ET5">
        <v>0</v>
      </c>
      <c r="EU5">
        <v>0.41770186335403725</v>
      </c>
      <c r="EV5">
        <v>0</v>
      </c>
      <c r="EW5">
        <v>269</v>
      </c>
      <c r="EX5">
        <v>0</v>
      </c>
      <c r="EY5">
        <v>5.434782608695652E-2</v>
      </c>
      <c r="EZ5">
        <v>0</v>
      </c>
      <c r="FA5">
        <v>35</v>
      </c>
      <c r="FB5">
        <v>0</v>
      </c>
      <c r="FC5">
        <v>0.10869565217391304</v>
      </c>
      <c r="FD5">
        <v>0</v>
      </c>
      <c r="FE5">
        <v>70</v>
      </c>
      <c r="FF5">
        <v>2.5000000000000001E-2</v>
      </c>
      <c r="FG5">
        <v>0.18012422360248448</v>
      </c>
      <c r="FH5">
        <v>2</v>
      </c>
      <c r="FI5">
        <v>116</v>
      </c>
      <c r="FJ5">
        <v>3.7499999999999999E-2</v>
      </c>
      <c r="FK5">
        <v>4.9689440993788817E-2</v>
      </c>
      <c r="FL5">
        <v>3</v>
      </c>
      <c r="FM5">
        <v>32</v>
      </c>
      <c r="FN5">
        <v>12</v>
      </c>
      <c r="FO5">
        <v>83</v>
      </c>
      <c r="FP5">
        <v>12</v>
      </c>
      <c r="FQ5">
        <v>83</v>
      </c>
      <c r="FR5">
        <v>0.91666666666666663</v>
      </c>
      <c r="FS5">
        <v>0.13253012048192772</v>
      </c>
      <c r="FT5">
        <v>11</v>
      </c>
      <c r="FU5">
        <v>11</v>
      </c>
      <c r="FV5">
        <v>0</v>
      </c>
      <c r="FW5">
        <v>0</v>
      </c>
      <c r="FX5">
        <v>0</v>
      </c>
      <c r="FY5">
        <v>0</v>
      </c>
      <c r="FZ5">
        <v>0</v>
      </c>
      <c r="GA5">
        <v>0.31325301204819278</v>
      </c>
      <c r="GB5">
        <v>0</v>
      </c>
      <c r="GC5">
        <v>26</v>
      </c>
      <c r="GD5">
        <v>0</v>
      </c>
      <c r="GE5">
        <v>0</v>
      </c>
      <c r="GF5">
        <v>0</v>
      </c>
      <c r="GG5">
        <v>0</v>
      </c>
      <c r="GH5">
        <v>0</v>
      </c>
      <c r="GI5">
        <v>0.13253012048192772</v>
      </c>
      <c r="GJ5">
        <v>0</v>
      </c>
      <c r="GK5">
        <v>11</v>
      </c>
      <c r="GL5">
        <v>0</v>
      </c>
      <c r="GM5">
        <v>0.3253012048192771</v>
      </c>
      <c r="GN5">
        <v>0</v>
      </c>
      <c r="GO5">
        <v>27</v>
      </c>
      <c r="GP5">
        <v>8.3333333333333329E-2</v>
      </c>
      <c r="GQ5">
        <v>9.6385542168674704E-2</v>
      </c>
      <c r="GR5">
        <v>1</v>
      </c>
      <c r="GS5">
        <v>8</v>
      </c>
      <c r="GT5">
        <v>3.7499999999999999E-2</v>
      </c>
      <c r="GU5">
        <v>4.9689440993788817E-2</v>
      </c>
      <c r="GV5">
        <v>3</v>
      </c>
      <c r="GW5">
        <v>32</v>
      </c>
      <c r="GX5">
        <v>8.7499999999999994E-2</v>
      </c>
      <c r="GY5">
        <v>8.2298136645962736E-2</v>
      </c>
      <c r="GZ5">
        <v>7</v>
      </c>
      <c r="HA5">
        <v>53</v>
      </c>
      <c r="HB5">
        <v>0</v>
      </c>
      <c r="HC5">
        <v>1.5527950310559005E-3</v>
      </c>
      <c r="HD5">
        <v>0</v>
      </c>
      <c r="HE5">
        <v>1</v>
      </c>
      <c r="HF5">
        <v>0</v>
      </c>
      <c r="HG5">
        <v>0</v>
      </c>
      <c r="HH5">
        <v>0</v>
      </c>
      <c r="HI5">
        <v>0</v>
      </c>
      <c r="HJ5">
        <v>0</v>
      </c>
      <c r="HK5">
        <v>0</v>
      </c>
      <c r="HL5">
        <v>0</v>
      </c>
      <c r="HM5">
        <v>0</v>
      </c>
      <c r="HN5">
        <v>1.2500000000000001E-2</v>
      </c>
      <c r="HO5">
        <v>0</v>
      </c>
      <c r="HP5">
        <v>1</v>
      </c>
      <c r="HQ5">
        <v>0</v>
      </c>
      <c r="HR5">
        <v>0.76249999999999996</v>
      </c>
      <c r="HS5">
        <v>0.72981366459627328</v>
      </c>
      <c r="HT5">
        <v>61</v>
      </c>
      <c r="HU5">
        <v>470</v>
      </c>
      <c r="HV5">
        <v>0.1125</v>
      </c>
      <c r="HW5">
        <v>0.13664596273291926</v>
      </c>
      <c r="HX5">
        <v>9</v>
      </c>
      <c r="HY5">
        <v>88</v>
      </c>
      <c r="HZ5">
        <v>0.46875</v>
      </c>
      <c r="IA5">
        <v>0.32773109243697479</v>
      </c>
      <c r="IB5">
        <v>15</v>
      </c>
      <c r="IC5">
        <v>78</v>
      </c>
      <c r="ID5">
        <v>0.3125</v>
      </c>
      <c r="IE5">
        <v>0.32773109243697479</v>
      </c>
      <c r="IF5">
        <v>10</v>
      </c>
      <c r="IG5">
        <v>78</v>
      </c>
      <c r="IH5">
        <v>3.125E-2</v>
      </c>
      <c r="II5">
        <v>7.9831932773109238E-2</v>
      </c>
      <c r="IJ5">
        <v>1</v>
      </c>
      <c r="IK5">
        <v>19</v>
      </c>
      <c r="IL5">
        <v>3.125E-2</v>
      </c>
      <c r="IM5">
        <v>2.5210084033613446E-2</v>
      </c>
      <c r="IN5">
        <v>1</v>
      </c>
      <c r="IO5">
        <v>6</v>
      </c>
      <c r="IP5">
        <v>0.15625</v>
      </c>
      <c r="IQ5">
        <v>0.23949579831932774</v>
      </c>
      <c r="IR5">
        <v>5</v>
      </c>
      <c r="IS5">
        <v>57</v>
      </c>
      <c r="IT5">
        <v>56.583333333333336</v>
      </c>
      <c r="IU5">
        <v>77.970059880239518</v>
      </c>
      <c r="IV5">
        <v>0.45833333333333331</v>
      </c>
      <c r="IW5">
        <v>0.3652694610778443</v>
      </c>
      <c r="IX5">
        <v>11</v>
      </c>
      <c r="IY5">
        <v>61</v>
      </c>
      <c r="IZ5">
        <v>0.33333333333333331</v>
      </c>
      <c r="JA5">
        <v>0.33532934131736525</v>
      </c>
      <c r="JB5">
        <v>8</v>
      </c>
      <c r="JC5">
        <v>56</v>
      </c>
      <c r="JD5">
        <v>4.1666666666666664E-2</v>
      </c>
      <c r="JE5">
        <v>4.790419161676647E-2</v>
      </c>
      <c r="JF5">
        <v>1</v>
      </c>
      <c r="JG5">
        <v>8</v>
      </c>
      <c r="JH5">
        <v>4.1666666666666664E-2</v>
      </c>
      <c r="JI5">
        <v>2.9940119760479042E-2</v>
      </c>
      <c r="JJ5">
        <v>1</v>
      </c>
      <c r="JK5">
        <v>5</v>
      </c>
      <c r="JL5">
        <v>0.125</v>
      </c>
      <c r="JM5">
        <v>0.22155688622754491</v>
      </c>
      <c r="JN5">
        <v>3</v>
      </c>
      <c r="JO5">
        <v>37</v>
      </c>
      <c r="JP5">
        <v>0.1</v>
      </c>
      <c r="JQ5">
        <v>2.2727272727272728E-2</v>
      </c>
      <c r="JR5">
        <v>1</v>
      </c>
      <c r="JS5">
        <v>1</v>
      </c>
      <c r="JT5">
        <v>0.7</v>
      </c>
      <c r="JU5">
        <v>0.75</v>
      </c>
      <c r="JV5">
        <v>7</v>
      </c>
      <c r="JW5">
        <v>33</v>
      </c>
      <c r="JX5">
        <v>0</v>
      </c>
      <c r="JY5">
        <v>4.5454545454545456E-2</v>
      </c>
      <c r="JZ5">
        <v>0</v>
      </c>
      <c r="KA5">
        <v>2</v>
      </c>
      <c r="KB5">
        <v>0</v>
      </c>
      <c r="KC5">
        <v>0</v>
      </c>
      <c r="KD5">
        <v>0</v>
      </c>
      <c r="KE5">
        <v>0</v>
      </c>
      <c r="KF5">
        <v>0.20000000000000007</v>
      </c>
      <c r="KG5">
        <v>0.18181818181818188</v>
      </c>
      <c r="KH5">
        <v>2</v>
      </c>
      <c r="KI5">
        <v>8</v>
      </c>
      <c r="KJ5">
        <v>0</v>
      </c>
      <c r="KK5">
        <v>4.5454545454545456E-2</v>
      </c>
      <c r="KL5">
        <v>0</v>
      </c>
      <c r="KM5">
        <v>2</v>
      </c>
      <c r="KN5">
        <v>0.2</v>
      </c>
      <c r="KO5">
        <v>0.13636363636363635</v>
      </c>
      <c r="KP5">
        <v>2</v>
      </c>
      <c r="KQ5">
        <v>6</v>
      </c>
      <c r="KR5">
        <v>0</v>
      </c>
      <c r="KS5">
        <v>9.0909090909090912E-2</v>
      </c>
      <c r="KT5">
        <v>0</v>
      </c>
      <c r="KU5">
        <v>4</v>
      </c>
      <c r="KV5">
        <v>0</v>
      </c>
      <c r="KW5">
        <v>9.0909090909090912E-2</v>
      </c>
      <c r="KX5">
        <v>0</v>
      </c>
      <c r="KY5">
        <v>4</v>
      </c>
      <c r="KZ5">
        <v>0.8</v>
      </c>
      <c r="LA5">
        <v>0.63636363636363635</v>
      </c>
      <c r="LB5">
        <v>8</v>
      </c>
      <c r="LC5">
        <v>28</v>
      </c>
      <c r="LD5">
        <v>0.5</v>
      </c>
      <c r="LE5">
        <v>0.41249999999999998</v>
      </c>
      <c r="LF5">
        <v>0</v>
      </c>
      <c r="LG5">
        <v>8.7500000000000022E-2</v>
      </c>
      <c r="LH5">
        <v>0.53881987577639756</v>
      </c>
      <c r="LI5">
        <v>0.44720496894409939</v>
      </c>
      <c r="LJ5">
        <v>2.0186335403726708E-2</v>
      </c>
      <c r="LK5">
        <v>7.1428571428571452E-2</v>
      </c>
    </row>
    <row r="6" spans="1:323" x14ac:dyDescent="0.25">
      <c r="A6" t="s">
        <v>11</v>
      </c>
      <c r="B6" t="s">
        <v>96</v>
      </c>
      <c r="C6" t="s">
        <v>156</v>
      </c>
      <c r="D6">
        <v>2.1897810218978103E-2</v>
      </c>
      <c r="E6">
        <v>5.1094890510948905E-2</v>
      </c>
      <c r="F6">
        <v>0.20437956204379562</v>
      </c>
      <c r="G6">
        <v>0.43065693430656932</v>
      </c>
      <c r="H6">
        <v>0.29197080291970801</v>
      </c>
      <c r="I6">
        <v>1.1579818031430935E-2</v>
      </c>
      <c r="J6">
        <v>6.1621174524400329E-2</v>
      </c>
      <c r="K6">
        <v>0.21464019851116625</v>
      </c>
      <c r="L6">
        <v>0.44582299421009097</v>
      </c>
      <c r="M6">
        <v>0.26633581472291151</v>
      </c>
      <c r="N6">
        <v>0.71897810218978098</v>
      </c>
      <c r="O6">
        <v>0.28102189781021902</v>
      </c>
      <c r="P6">
        <v>0.70471464019851116</v>
      </c>
      <c r="Q6">
        <v>0.29528535980148884</v>
      </c>
      <c r="R6">
        <v>274</v>
      </c>
      <c r="S6">
        <v>66.496350364963504</v>
      </c>
      <c r="T6">
        <v>32</v>
      </c>
      <c r="U6">
        <v>8.9671532846715323</v>
      </c>
      <c r="V6">
        <v>4.1824817518248176</v>
      </c>
      <c r="W6">
        <v>22.37956204379562</v>
      </c>
      <c r="X6">
        <v>2418</v>
      </c>
      <c r="Y6">
        <v>66.236559139784944</v>
      </c>
      <c r="Z6">
        <v>308</v>
      </c>
      <c r="AA6">
        <v>10.480562448304385</v>
      </c>
      <c r="AB6">
        <v>3.9582299421009099</v>
      </c>
      <c r="AC6">
        <v>32.586848635235732</v>
      </c>
      <c r="AD6">
        <v>0.92874109263657956</v>
      </c>
      <c r="AE6">
        <v>0.57145574435708846</v>
      </c>
      <c r="AF6">
        <v>1173</v>
      </c>
      <c r="AG6">
        <v>9013</v>
      </c>
      <c r="AH6">
        <v>4.5922406967537611E-2</v>
      </c>
      <c r="AI6">
        <v>0.40077352269845296</v>
      </c>
      <c r="AJ6">
        <v>58</v>
      </c>
      <c r="AK6">
        <v>6321</v>
      </c>
      <c r="AL6">
        <v>1.8210609659540775E-2</v>
      </c>
      <c r="AM6">
        <v>1.8133400963733198E-2</v>
      </c>
      <c r="AN6">
        <v>23</v>
      </c>
      <c r="AO6">
        <v>286</v>
      </c>
      <c r="AP6">
        <v>1.5835312747426761E-3</v>
      </c>
      <c r="AQ6">
        <v>7.101191985797616E-3</v>
      </c>
      <c r="AR6">
        <v>2</v>
      </c>
      <c r="AS6">
        <v>112</v>
      </c>
      <c r="AT6">
        <v>5.5423594615993665E-3</v>
      </c>
      <c r="AU6">
        <v>2.4093329951813342E-3</v>
      </c>
      <c r="AV6">
        <v>7</v>
      </c>
      <c r="AW6">
        <v>38</v>
      </c>
      <c r="AX6">
        <v>0</v>
      </c>
      <c r="AY6">
        <v>6.3403499873192998E-5</v>
      </c>
      <c r="AZ6">
        <v>0</v>
      </c>
      <c r="BA6">
        <v>1</v>
      </c>
      <c r="BB6">
        <v>0.43795620437956206</v>
      </c>
      <c r="BC6">
        <v>9.514598540145986</v>
      </c>
      <c r="BD6">
        <v>9.4890510948905105E-2</v>
      </c>
      <c r="BE6">
        <v>1.7664233576642336</v>
      </c>
      <c r="BF6">
        <v>2.1897810218978103E-2</v>
      </c>
      <c r="BG6">
        <v>0.54744525547445255</v>
      </c>
      <c r="BH6">
        <v>0.33457402812241521</v>
      </c>
      <c r="BI6">
        <v>8.0897435897435894</v>
      </c>
      <c r="BJ6">
        <v>6.3275434243176179E-2</v>
      </c>
      <c r="BK6">
        <v>1.6683209263854426</v>
      </c>
      <c r="BL6">
        <v>6.2034739454094297E-3</v>
      </c>
      <c r="BM6">
        <v>0.13399503722084366</v>
      </c>
      <c r="BN6">
        <v>0.24520069808027922</v>
      </c>
      <c r="BO6">
        <v>0.20071047957371227</v>
      </c>
      <c r="BP6">
        <v>281</v>
      </c>
      <c r="BQ6">
        <v>1921</v>
      </c>
      <c r="BR6">
        <v>0.17626527050610821</v>
      </c>
      <c r="BS6">
        <v>0.19276982551457528</v>
      </c>
      <c r="BT6">
        <v>202</v>
      </c>
      <c r="BU6">
        <v>1845</v>
      </c>
      <c r="BV6">
        <v>5.4101221640488653E-2</v>
      </c>
      <c r="BW6">
        <v>6.0913175216800751E-2</v>
      </c>
      <c r="BX6">
        <v>62</v>
      </c>
      <c r="BY6">
        <v>583</v>
      </c>
      <c r="BZ6">
        <v>4.9738219895287955E-2</v>
      </c>
      <c r="CA6">
        <v>5.9136976282520112E-2</v>
      </c>
      <c r="CB6">
        <v>57</v>
      </c>
      <c r="CC6">
        <v>566</v>
      </c>
      <c r="CD6">
        <v>4.712041884816754E-2</v>
      </c>
      <c r="CE6">
        <v>5.1718733674642151E-2</v>
      </c>
      <c r="CF6">
        <v>54</v>
      </c>
      <c r="CG6">
        <v>495</v>
      </c>
      <c r="CH6">
        <v>4.3630017452006981E-2</v>
      </c>
      <c r="CI6">
        <v>3.8658447393166859E-2</v>
      </c>
      <c r="CJ6">
        <v>50</v>
      </c>
      <c r="CK6">
        <v>370</v>
      </c>
      <c r="CL6">
        <v>0</v>
      </c>
      <c r="CM6">
        <v>0</v>
      </c>
      <c r="CN6">
        <v>0</v>
      </c>
      <c r="CO6">
        <v>0</v>
      </c>
      <c r="CP6">
        <v>2.2687609075043629E-2</v>
      </c>
      <c r="CQ6">
        <v>3.0404346463274477E-2</v>
      </c>
      <c r="CR6">
        <v>26</v>
      </c>
      <c r="CS6">
        <v>291</v>
      </c>
      <c r="CT6">
        <v>5.6719022687609075E-2</v>
      </c>
      <c r="CU6">
        <v>5.3912861769929994E-2</v>
      </c>
      <c r="CV6">
        <v>65</v>
      </c>
      <c r="CW6">
        <v>516</v>
      </c>
      <c r="CX6">
        <v>0.28359511343804539</v>
      </c>
      <c r="CY6">
        <v>0.28534113467767214</v>
      </c>
      <c r="CZ6">
        <v>325</v>
      </c>
      <c r="DA6">
        <v>2731</v>
      </c>
      <c r="DB6">
        <v>2.0942408376963373E-2</v>
      </c>
      <c r="DC6">
        <v>2.6434019433705824E-2</v>
      </c>
      <c r="DD6">
        <v>24.000000000000025</v>
      </c>
      <c r="DE6">
        <v>164.07117437722437</v>
      </c>
      <c r="DF6">
        <v>7.6642335766423361E-2</v>
      </c>
      <c r="DG6">
        <v>9.553349875930521E-2</v>
      </c>
      <c r="DH6">
        <v>21</v>
      </c>
      <c r="DI6">
        <v>231</v>
      </c>
      <c r="DJ6">
        <v>6.569343065693431E-2</v>
      </c>
      <c r="DK6">
        <v>4.5078577336641855E-2</v>
      </c>
      <c r="DL6">
        <v>18</v>
      </c>
      <c r="DM6">
        <v>109</v>
      </c>
      <c r="DN6">
        <v>0.12773722627737227</v>
      </c>
      <c r="DO6">
        <v>0.12324234904880066</v>
      </c>
      <c r="DP6">
        <v>35</v>
      </c>
      <c r="DQ6">
        <v>298</v>
      </c>
      <c r="DR6">
        <v>2.9197080291970802E-2</v>
      </c>
      <c r="DS6">
        <v>3.2258064516129031E-2</v>
      </c>
      <c r="DT6">
        <v>8</v>
      </c>
      <c r="DU6">
        <v>78</v>
      </c>
      <c r="DV6">
        <v>3.6496350364963501E-2</v>
      </c>
      <c r="DW6">
        <v>6.7411083540115796E-2</v>
      </c>
      <c r="DX6">
        <v>10</v>
      </c>
      <c r="DY6">
        <v>163</v>
      </c>
      <c r="DZ6">
        <v>6.569343065693431E-2</v>
      </c>
      <c r="EA6">
        <v>9.3465674110835395E-2</v>
      </c>
      <c r="EB6">
        <v>18</v>
      </c>
      <c r="EC6">
        <v>226</v>
      </c>
      <c r="ED6">
        <v>0.47810218978102192</v>
      </c>
      <c r="EE6">
        <v>0.47435897435897434</v>
      </c>
      <c r="EF6">
        <v>131</v>
      </c>
      <c r="EG6">
        <v>1147</v>
      </c>
      <c r="EH6">
        <v>0.12043795620437947</v>
      </c>
      <c r="EI6">
        <v>6.8651778329197666E-2</v>
      </c>
      <c r="EJ6">
        <v>32.999999999999972</v>
      </c>
      <c r="EK6">
        <v>165.99999999999994</v>
      </c>
      <c r="EL6">
        <v>0.87226277372262773</v>
      </c>
      <c r="EM6">
        <v>0.10297766749379653</v>
      </c>
      <c r="EN6">
        <v>239</v>
      </c>
      <c r="EO6">
        <v>249</v>
      </c>
      <c r="EP6">
        <v>0</v>
      </c>
      <c r="EQ6">
        <v>7.6923076923076927E-2</v>
      </c>
      <c r="ER6">
        <v>0</v>
      </c>
      <c r="ES6">
        <v>186</v>
      </c>
      <c r="ET6">
        <v>1.0948905109489052E-2</v>
      </c>
      <c r="EU6">
        <v>0.4813895781637717</v>
      </c>
      <c r="EV6">
        <v>3</v>
      </c>
      <c r="EW6">
        <v>1164</v>
      </c>
      <c r="EX6">
        <v>7.2992700729927005E-3</v>
      </c>
      <c r="EY6">
        <v>4.8800661703887513E-2</v>
      </c>
      <c r="EZ6">
        <v>2</v>
      </c>
      <c r="FA6">
        <v>118</v>
      </c>
      <c r="FB6">
        <v>0</v>
      </c>
      <c r="FC6">
        <v>8.0231596360628613E-2</v>
      </c>
      <c r="FD6">
        <v>0</v>
      </c>
      <c r="FE6">
        <v>194</v>
      </c>
      <c r="FF6">
        <v>3.2846715328467155E-2</v>
      </c>
      <c r="FG6">
        <v>0.16046319272125723</v>
      </c>
      <c r="FH6">
        <v>9</v>
      </c>
      <c r="FI6">
        <v>388</v>
      </c>
      <c r="FJ6">
        <v>7.6642335766423361E-2</v>
      </c>
      <c r="FK6">
        <v>4.9214226633581472E-2</v>
      </c>
      <c r="FL6">
        <v>21</v>
      </c>
      <c r="FM6">
        <v>119</v>
      </c>
      <c r="FN6">
        <v>54</v>
      </c>
      <c r="FO6">
        <v>495</v>
      </c>
      <c r="FP6">
        <v>54</v>
      </c>
      <c r="FQ6">
        <v>495</v>
      </c>
      <c r="FR6">
        <v>0.77777777777777779</v>
      </c>
      <c r="FS6">
        <v>8.4848484848484854E-2</v>
      </c>
      <c r="FT6">
        <v>42</v>
      </c>
      <c r="FU6">
        <v>42</v>
      </c>
      <c r="FV6">
        <v>0</v>
      </c>
      <c r="FW6">
        <v>0</v>
      </c>
      <c r="FX6">
        <v>0</v>
      </c>
      <c r="FY6">
        <v>0</v>
      </c>
      <c r="FZ6">
        <v>0</v>
      </c>
      <c r="GA6">
        <v>0.44242424242424244</v>
      </c>
      <c r="GB6">
        <v>0</v>
      </c>
      <c r="GC6">
        <v>219</v>
      </c>
      <c r="GD6">
        <v>0</v>
      </c>
      <c r="GE6">
        <v>0</v>
      </c>
      <c r="GF6">
        <v>0</v>
      </c>
      <c r="GG6">
        <v>0</v>
      </c>
      <c r="GH6">
        <v>0</v>
      </c>
      <c r="GI6">
        <v>5.8585858585858588E-2</v>
      </c>
      <c r="GJ6">
        <v>0</v>
      </c>
      <c r="GK6">
        <v>29</v>
      </c>
      <c r="GL6">
        <v>7.407407407407407E-2</v>
      </c>
      <c r="GM6">
        <v>0.32323232323232326</v>
      </c>
      <c r="GN6">
        <v>4</v>
      </c>
      <c r="GO6">
        <v>160</v>
      </c>
      <c r="GP6">
        <v>0.14814814814814814</v>
      </c>
      <c r="GQ6">
        <v>9.0909090909090912E-2</v>
      </c>
      <c r="GR6">
        <v>8</v>
      </c>
      <c r="GS6">
        <v>45</v>
      </c>
      <c r="GT6">
        <v>3.6496350364963501E-2</v>
      </c>
      <c r="GU6">
        <v>4.425144747725393E-2</v>
      </c>
      <c r="GV6">
        <v>10</v>
      </c>
      <c r="GW6">
        <v>107</v>
      </c>
      <c r="GX6">
        <v>6.569343065693431E-2</v>
      </c>
      <c r="GY6">
        <v>7.3614557485525228E-2</v>
      </c>
      <c r="GZ6">
        <v>18</v>
      </c>
      <c r="HA6">
        <v>178</v>
      </c>
      <c r="HB6">
        <v>0</v>
      </c>
      <c r="HC6">
        <v>8.271298593879239E-4</v>
      </c>
      <c r="HD6">
        <v>0</v>
      </c>
      <c r="HE6">
        <v>2</v>
      </c>
      <c r="HF6">
        <v>0</v>
      </c>
      <c r="HG6">
        <v>4.1356492969396195E-4</v>
      </c>
      <c r="HH6">
        <v>0</v>
      </c>
      <c r="HI6">
        <v>1</v>
      </c>
      <c r="HJ6">
        <v>3.6496350364963502E-3</v>
      </c>
      <c r="HK6">
        <v>4.1356492969396195E-4</v>
      </c>
      <c r="HL6">
        <v>1</v>
      </c>
      <c r="HM6">
        <v>1</v>
      </c>
      <c r="HN6">
        <v>3.6496350364963502E-3</v>
      </c>
      <c r="HO6">
        <v>2.0678246484698098E-3</v>
      </c>
      <c r="HP6">
        <v>1</v>
      </c>
      <c r="HQ6">
        <v>5</v>
      </c>
      <c r="HR6">
        <v>0.83576642335766427</v>
      </c>
      <c r="HS6">
        <v>0.80024813895781632</v>
      </c>
      <c r="HT6">
        <v>229</v>
      </c>
      <c r="HU6">
        <v>1935</v>
      </c>
      <c r="HV6">
        <v>5.8394160583941604E-2</v>
      </c>
      <c r="HW6">
        <v>8.0231596360628613E-2</v>
      </c>
      <c r="HX6">
        <v>16</v>
      </c>
      <c r="HY6">
        <v>194</v>
      </c>
      <c r="HZ6">
        <v>0.41860465116279072</v>
      </c>
      <c r="IA6">
        <v>0.44483985765124556</v>
      </c>
      <c r="IB6">
        <v>54</v>
      </c>
      <c r="IC6">
        <v>375</v>
      </c>
      <c r="ID6">
        <v>0.14728682170542637</v>
      </c>
      <c r="IE6">
        <v>0.21233689205219455</v>
      </c>
      <c r="IF6">
        <v>19</v>
      </c>
      <c r="IG6">
        <v>179</v>
      </c>
      <c r="IH6">
        <v>3.1007751937984496E-2</v>
      </c>
      <c r="II6">
        <v>6.1684460260972719E-2</v>
      </c>
      <c r="IJ6">
        <v>4</v>
      </c>
      <c r="IK6">
        <v>52</v>
      </c>
      <c r="IL6">
        <v>0.14728682170542637</v>
      </c>
      <c r="IM6">
        <v>4.0332147093712932E-2</v>
      </c>
      <c r="IN6">
        <v>19</v>
      </c>
      <c r="IO6">
        <v>34</v>
      </c>
      <c r="IP6">
        <v>0.2558139534883721</v>
      </c>
      <c r="IQ6">
        <v>0.2431791221826809</v>
      </c>
      <c r="IR6">
        <v>33</v>
      </c>
      <c r="IS6">
        <v>205</v>
      </c>
      <c r="IT6">
        <v>56.855072463768117</v>
      </c>
      <c r="IU6">
        <v>74.587521663778162</v>
      </c>
      <c r="IV6">
        <v>0.50724637681159424</v>
      </c>
      <c r="IW6">
        <v>0.515625</v>
      </c>
      <c r="IX6">
        <v>35</v>
      </c>
      <c r="IY6">
        <v>297</v>
      </c>
      <c r="IZ6">
        <v>0.15942028985507245</v>
      </c>
      <c r="JA6">
        <v>0.19444444444444445</v>
      </c>
      <c r="JB6">
        <v>11</v>
      </c>
      <c r="JC6">
        <v>112</v>
      </c>
      <c r="JD6">
        <v>1.4492753623188406E-2</v>
      </c>
      <c r="JE6">
        <v>5.9027777777777776E-2</v>
      </c>
      <c r="JF6">
        <v>1</v>
      </c>
      <c r="JG6">
        <v>34</v>
      </c>
      <c r="JH6">
        <v>0.10144927536231885</v>
      </c>
      <c r="JI6">
        <v>3.125E-2</v>
      </c>
      <c r="JJ6">
        <v>7</v>
      </c>
      <c r="JK6">
        <v>18</v>
      </c>
      <c r="JL6">
        <v>0.21739130434782608</v>
      </c>
      <c r="JM6">
        <v>0.2013888888888889</v>
      </c>
      <c r="JN6">
        <v>15</v>
      </c>
      <c r="JO6">
        <v>116</v>
      </c>
      <c r="JP6">
        <v>3.8461538461538464E-2</v>
      </c>
      <c r="JQ6">
        <v>7.1895424836601302E-2</v>
      </c>
      <c r="JR6">
        <v>1</v>
      </c>
      <c r="JS6">
        <v>11</v>
      </c>
      <c r="JT6">
        <v>0.73076923076923073</v>
      </c>
      <c r="JU6">
        <v>0.69281045751633985</v>
      </c>
      <c r="JV6">
        <v>19</v>
      </c>
      <c r="JW6">
        <v>106</v>
      </c>
      <c r="JX6">
        <v>0.11538461538461539</v>
      </c>
      <c r="JY6">
        <v>7.1895424836601302E-2</v>
      </c>
      <c r="JZ6">
        <v>3</v>
      </c>
      <c r="KA6">
        <v>11</v>
      </c>
      <c r="KB6">
        <v>0</v>
      </c>
      <c r="KC6">
        <v>3.9215686274509803E-2</v>
      </c>
      <c r="KD6">
        <v>0</v>
      </c>
      <c r="KE6">
        <v>6</v>
      </c>
      <c r="KF6">
        <v>0.11538461538461542</v>
      </c>
      <c r="KG6">
        <v>0.12418300653594783</v>
      </c>
      <c r="KH6">
        <v>3</v>
      </c>
      <c r="KI6">
        <v>19</v>
      </c>
      <c r="KJ6">
        <v>3.8461538461538464E-2</v>
      </c>
      <c r="KK6">
        <v>0.15584415584415584</v>
      </c>
      <c r="KL6">
        <v>1</v>
      </c>
      <c r="KM6">
        <v>24</v>
      </c>
      <c r="KN6">
        <v>7.6923076923076927E-2</v>
      </c>
      <c r="KO6">
        <v>0.14935064935064934</v>
      </c>
      <c r="KP6">
        <v>2</v>
      </c>
      <c r="KQ6">
        <v>23</v>
      </c>
      <c r="KR6">
        <v>0.26923076923076922</v>
      </c>
      <c r="KS6">
        <v>0.14285714285714285</v>
      </c>
      <c r="KT6">
        <v>7</v>
      </c>
      <c r="KU6">
        <v>22</v>
      </c>
      <c r="KV6">
        <v>0</v>
      </c>
      <c r="KW6">
        <v>8.4415584415584416E-2</v>
      </c>
      <c r="KX6">
        <v>0</v>
      </c>
      <c r="KY6">
        <v>13</v>
      </c>
      <c r="KZ6">
        <v>0.61538461538461542</v>
      </c>
      <c r="LA6">
        <v>0.46753246753246758</v>
      </c>
      <c r="LB6">
        <v>16</v>
      </c>
      <c r="LC6">
        <v>72</v>
      </c>
      <c r="LD6">
        <v>0.43795620437956206</v>
      </c>
      <c r="LE6">
        <v>0.37956204379562042</v>
      </c>
      <c r="LF6">
        <v>3.6496350364963502E-3</v>
      </c>
      <c r="LG6">
        <v>5.47445255474453E-2</v>
      </c>
      <c r="LH6">
        <v>0.44334160463192723</v>
      </c>
      <c r="LI6">
        <v>0.38792390405293631</v>
      </c>
      <c r="LJ6">
        <v>1.282051282051282E-2</v>
      </c>
      <c r="LK6">
        <v>4.2597187758478094E-2</v>
      </c>
    </row>
    <row r="7" spans="1:323" x14ac:dyDescent="0.25">
      <c r="A7" t="s">
        <v>12</v>
      </c>
      <c r="B7" t="s">
        <v>55</v>
      </c>
      <c r="C7" t="s">
        <v>157</v>
      </c>
      <c r="D7">
        <v>9.4043887147335428E-3</v>
      </c>
      <c r="E7">
        <v>6.5830721003134793E-2</v>
      </c>
      <c r="F7">
        <v>0.19435736677115986</v>
      </c>
      <c r="G7">
        <v>0.47335423197492166</v>
      </c>
      <c r="H7">
        <v>0.25705329153605017</v>
      </c>
      <c r="I7">
        <v>1.1579818031430935E-2</v>
      </c>
      <c r="J7">
        <v>6.1621174524400329E-2</v>
      </c>
      <c r="K7">
        <v>0.21464019851116625</v>
      </c>
      <c r="L7">
        <v>0.44582299421009097</v>
      </c>
      <c r="M7">
        <v>0.26633581472291151</v>
      </c>
      <c r="N7">
        <v>0.66666666666666663</v>
      </c>
      <c r="O7">
        <v>0.33333333333333337</v>
      </c>
      <c r="P7">
        <v>0.6428571428571429</v>
      </c>
      <c r="Q7">
        <v>0.3571428571428571</v>
      </c>
      <c r="R7">
        <v>3</v>
      </c>
      <c r="S7">
        <v>27.333333333333332</v>
      </c>
      <c r="T7">
        <v>0</v>
      </c>
      <c r="U7">
        <v>19.333333333333332</v>
      </c>
      <c r="V7">
        <v>6.333333333333333</v>
      </c>
      <c r="W7">
        <v>35.333333333333336</v>
      </c>
      <c r="X7">
        <v>28</v>
      </c>
      <c r="Y7">
        <v>32.285714285714285</v>
      </c>
      <c r="Z7">
        <v>2</v>
      </c>
      <c r="AA7">
        <v>8.6428571428571423</v>
      </c>
      <c r="AB7">
        <v>3.8571428571428572</v>
      </c>
      <c r="AC7">
        <v>30.25</v>
      </c>
      <c r="AD7">
        <v>0.33333333333333331</v>
      </c>
      <c r="AE7">
        <v>0.41269841269841268</v>
      </c>
      <c r="AF7">
        <v>13</v>
      </c>
      <c r="AG7">
        <v>52</v>
      </c>
      <c r="AH7">
        <v>0.66666666666666663</v>
      </c>
      <c r="AI7">
        <v>0.56349206349206349</v>
      </c>
      <c r="AJ7">
        <v>26</v>
      </c>
      <c r="AK7">
        <v>71</v>
      </c>
      <c r="AL7">
        <v>0</v>
      </c>
      <c r="AM7">
        <v>2.3809523809523808E-2</v>
      </c>
      <c r="AN7">
        <v>0</v>
      </c>
      <c r="AO7">
        <v>3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 s="116" t="s">
        <v>187</v>
      </c>
      <c r="BH7">
        <v>0.35714285714285715</v>
      </c>
      <c r="BI7">
        <v>7.75</v>
      </c>
      <c r="BJ7">
        <v>0</v>
      </c>
      <c r="BK7">
        <v>0</v>
      </c>
      <c r="BL7">
        <v>0</v>
      </c>
      <c r="BM7">
        <v>0</v>
      </c>
      <c r="BN7">
        <v>0.15789473684210525</v>
      </c>
      <c r="BO7">
        <v>0.19444444444444445</v>
      </c>
      <c r="BP7">
        <v>3</v>
      </c>
      <c r="BQ7">
        <v>21</v>
      </c>
      <c r="BR7">
        <v>0.21052631578947367</v>
      </c>
      <c r="BS7">
        <v>0.20370370370370369</v>
      </c>
      <c r="BT7">
        <v>4</v>
      </c>
      <c r="BU7">
        <v>22</v>
      </c>
      <c r="BV7">
        <v>0</v>
      </c>
      <c r="BW7">
        <v>3.7037037037037035E-2</v>
      </c>
      <c r="BX7">
        <v>0</v>
      </c>
      <c r="BY7">
        <v>4</v>
      </c>
      <c r="BZ7">
        <v>0</v>
      </c>
      <c r="CA7">
        <v>1.8518518518518517E-2</v>
      </c>
      <c r="CB7">
        <v>0</v>
      </c>
      <c r="CC7">
        <v>2</v>
      </c>
      <c r="CD7">
        <v>5.2631578947368418E-2</v>
      </c>
      <c r="CE7">
        <v>0.12037037037037036</v>
      </c>
      <c r="CF7">
        <v>1</v>
      </c>
      <c r="CG7">
        <v>13</v>
      </c>
      <c r="CH7">
        <v>0</v>
      </c>
      <c r="CI7">
        <v>6.4814814814814811E-2</v>
      </c>
      <c r="CJ7">
        <v>0</v>
      </c>
      <c r="CK7">
        <v>7</v>
      </c>
      <c r="CL7">
        <v>0</v>
      </c>
      <c r="CM7">
        <v>0</v>
      </c>
      <c r="CN7">
        <v>0</v>
      </c>
      <c r="CO7">
        <v>0</v>
      </c>
      <c r="CP7">
        <v>5.2631578947368418E-2</v>
      </c>
      <c r="CQ7">
        <v>9.2592592592592587E-3</v>
      </c>
      <c r="CR7">
        <v>1</v>
      </c>
      <c r="CS7">
        <v>1</v>
      </c>
      <c r="CT7">
        <v>0.10526315789473684</v>
      </c>
      <c r="CU7">
        <v>5.5555555555555552E-2</v>
      </c>
      <c r="CV7">
        <v>2</v>
      </c>
      <c r="CW7">
        <v>6</v>
      </c>
      <c r="CX7">
        <v>0.42105263157894735</v>
      </c>
      <c r="CY7">
        <v>0.27777777777777779</v>
      </c>
      <c r="CZ7">
        <v>8</v>
      </c>
      <c r="DA7">
        <v>30</v>
      </c>
      <c r="DB7">
        <v>0</v>
      </c>
      <c r="DC7">
        <v>1.851851851851849E-2</v>
      </c>
      <c r="DD7">
        <v>0</v>
      </c>
      <c r="DE7">
        <v>0</v>
      </c>
      <c r="DF7">
        <v>0</v>
      </c>
      <c r="DG7">
        <v>0.14285714285714285</v>
      </c>
      <c r="DH7">
        <v>0</v>
      </c>
      <c r="DI7">
        <v>4</v>
      </c>
      <c r="DJ7">
        <v>0</v>
      </c>
      <c r="DK7">
        <v>0</v>
      </c>
      <c r="DL7">
        <v>0</v>
      </c>
      <c r="DM7">
        <v>0</v>
      </c>
      <c r="DN7">
        <v>0</v>
      </c>
      <c r="DO7">
        <v>0.17857142857142858</v>
      </c>
      <c r="DP7">
        <v>0</v>
      </c>
      <c r="DQ7">
        <v>5</v>
      </c>
      <c r="DR7">
        <v>0</v>
      </c>
      <c r="DS7">
        <v>0</v>
      </c>
      <c r="DT7">
        <v>0</v>
      </c>
      <c r="DU7">
        <v>0</v>
      </c>
      <c r="DV7">
        <v>0</v>
      </c>
      <c r="DW7">
        <v>0.10714285714285714</v>
      </c>
      <c r="DX7">
        <v>0</v>
      </c>
      <c r="DY7">
        <v>3</v>
      </c>
      <c r="DZ7">
        <v>0.33333333333333331</v>
      </c>
      <c r="EA7">
        <v>0.14285714285714285</v>
      </c>
      <c r="EB7">
        <v>1</v>
      </c>
      <c r="EC7">
        <v>4</v>
      </c>
      <c r="ED7">
        <v>0.33333333333333331</v>
      </c>
      <c r="EE7">
        <v>0.35714285714285715</v>
      </c>
      <c r="EF7">
        <v>1</v>
      </c>
      <c r="EG7">
        <v>10</v>
      </c>
      <c r="EH7">
        <v>0.33333333333333337</v>
      </c>
      <c r="EI7">
        <v>7.1428571428571397E-2</v>
      </c>
      <c r="EJ7" s="116" t="s">
        <v>187</v>
      </c>
      <c r="EK7">
        <v>1.9999999999999991</v>
      </c>
      <c r="EL7">
        <v>0</v>
      </c>
      <c r="EM7">
        <v>0.17857142857142858</v>
      </c>
      <c r="EN7">
        <v>0</v>
      </c>
      <c r="EO7">
        <v>5</v>
      </c>
      <c r="EP7">
        <v>0.66666666666666663</v>
      </c>
      <c r="EQ7">
        <v>7.1428571428571425E-2</v>
      </c>
      <c r="ER7">
        <v>2</v>
      </c>
      <c r="ES7">
        <v>2</v>
      </c>
      <c r="ET7">
        <v>0.33333333333333331</v>
      </c>
      <c r="EU7">
        <v>0.5714285714285714</v>
      </c>
      <c r="EV7">
        <v>1</v>
      </c>
      <c r="EW7">
        <v>16</v>
      </c>
      <c r="EX7">
        <v>0</v>
      </c>
      <c r="EY7">
        <v>7.1428571428571425E-2</v>
      </c>
      <c r="EZ7">
        <v>0</v>
      </c>
      <c r="FA7">
        <v>2</v>
      </c>
      <c r="FB7">
        <v>0</v>
      </c>
      <c r="FC7">
        <v>0</v>
      </c>
      <c r="FD7">
        <v>0</v>
      </c>
      <c r="FE7">
        <v>0</v>
      </c>
      <c r="FF7">
        <v>0</v>
      </c>
      <c r="FG7">
        <v>0.10714285714285714</v>
      </c>
      <c r="FH7">
        <v>0</v>
      </c>
      <c r="FI7">
        <v>3</v>
      </c>
      <c r="FJ7">
        <v>0</v>
      </c>
      <c r="FK7">
        <v>0</v>
      </c>
      <c r="FL7">
        <v>0</v>
      </c>
      <c r="FM7">
        <v>0</v>
      </c>
      <c r="FN7">
        <v>1</v>
      </c>
      <c r="FO7">
        <v>13</v>
      </c>
      <c r="FP7">
        <v>1</v>
      </c>
      <c r="FQ7">
        <v>13</v>
      </c>
      <c r="FR7">
        <v>0</v>
      </c>
      <c r="FS7">
        <v>0.23076923076923078</v>
      </c>
      <c r="FT7">
        <v>0</v>
      </c>
      <c r="FU7">
        <v>3</v>
      </c>
      <c r="FV7">
        <v>0</v>
      </c>
      <c r="FW7">
        <v>0</v>
      </c>
      <c r="FX7">
        <v>0</v>
      </c>
      <c r="FY7">
        <v>0</v>
      </c>
      <c r="FZ7">
        <v>0</v>
      </c>
      <c r="GA7">
        <v>0.30769230769230771</v>
      </c>
      <c r="GB7">
        <v>0</v>
      </c>
      <c r="GC7">
        <v>4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0.38461538461538464</v>
      </c>
      <c r="GN7">
        <v>0</v>
      </c>
      <c r="GO7">
        <v>5</v>
      </c>
      <c r="GP7">
        <v>1</v>
      </c>
      <c r="GQ7">
        <v>7.6923076923076927E-2</v>
      </c>
      <c r="GR7">
        <v>1</v>
      </c>
      <c r="GS7">
        <v>1</v>
      </c>
      <c r="GT7">
        <v>0</v>
      </c>
      <c r="GU7">
        <v>0</v>
      </c>
      <c r="GV7">
        <v>0</v>
      </c>
      <c r="GW7">
        <v>0</v>
      </c>
      <c r="GX7">
        <v>0</v>
      </c>
      <c r="GY7">
        <v>7.1428571428571425E-2</v>
      </c>
      <c r="GZ7">
        <v>0</v>
      </c>
      <c r="HA7">
        <v>2</v>
      </c>
      <c r="HB7">
        <v>0</v>
      </c>
      <c r="HC7">
        <v>0</v>
      </c>
      <c r="HD7">
        <v>0</v>
      </c>
      <c r="HE7">
        <v>0</v>
      </c>
      <c r="HF7">
        <v>0</v>
      </c>
      <c r="HG7">
        <v>0</v>
      </c>
      <c r="HH7">
        <v>0</v>
      </c>
      <c r="HI7">
        <v>0</v>
      </c>
      <c r="HJ7">
        <v>0</v>
      </c>
      <c r="HK7">
        <v>0</v>
      </c>
      <c r="HL7">
        <v>0</v>
      </c>
      <c r="HM7">
        <v>0</v>
      </c>
      <c r="HN7">
        <v>0</v>
      </c>
      <c r="HO7">
        <v>0</v>
      </c>
      <c r="HP7">
        <v>0</v>
      </c>
      <c r="HQ7">
        <v>0</v>
      </c>
      <c r="HR7">
        <v>1</v>
      </c>
      <c r="HS7">
        <v>0.8928571428571429</v>
      </c>
      <c r="HT7">
        <v>3</v>
      </c>
      <c r="HU7">
        <v>25</v>
      </c>
      <c r="HV7">
        <v>0</v>
      </c>
      <c r="HW7">
        <v>3.5714285714285712E-2</v>
      </c>
      <c r="HX7">
        <v>0</v>
      </c>
      <c r="HY7">
        <v>1</v>
      </c>
      <c r="HZ7" s="116" t="s">
        <v>187</v>
      </c>
      <c r="IA7">
        <v>0.6</v>
      </c>
      <c r="IB7">
        <v>0</v>
      </c>
      <c r="IC7">
        <v>6</v>
      </c>
      <c r="ID7" s="116" t="s">
        <v>187</v>
      </c>
      <c r="IE7">
        <v>0.1</v>
      </c>
      <c r="IF7">
        <v>0</v>
      </c>
      <c r="IG7">
        <v>1</v>
      </c>
      <c r="IH7" s="116" t="s">
        <v>187</v>
      </c>
      <c r="II7">
        <v>0.1</v>
      </c>
      <c r="IJ7">
        <v>0</v>
      </c>
      <c r="IK7">
        <v>1</v>
      </c>
      <c r="IL7" s="116" t="s">
        <v>187</v>
      </c>
      <c r="IM7">
        <v>0</v>
      </c>
      <c r="IN7">
        <v>0</v>
      </c>
      <c r="IO7">
        <v>0</v>
      </c>
      <c r="IP7" s="116" t="s">
        <v>187</v>
      </c>
      <c r="IQ7">
        <v>0.2</v>
      </c>
      <c r="IR7">
        <v>0</v>
      </c>
      <c r="IS7">
        <v>2</v>
      </c>
      <c r="IT7" s="116" t="s">
        <v>187</v>
      </c>
      <c r="IU7">
        <v>69.75</v>
      </c>
      <c r="IV7" s="116" t="s">
        <v>187</v>
      </c>
      <c r="IW7">
        <v>0.625</v>
      </c>
      <c r="IX7">
        <v>0</v>
      </c>
      <c r="IY7">
        <v>5</v>
      </c>
      <c r="IZ7" s="116" t="s">
        <v>187</v>
      </c>
      <c r="JA7">
        <v>0.125</v>
      </c>
      <c r="JB7">
        <v>0</v>
      </c>
      <c r="JC7">
        <v>1</v>
      </c>
      <c r="JD7" s="116" t="s">
        <v>187</v>
      </c>
      <c r="JE7">
        <v>0.125</v>
      </c>
      <c r="JF7">
        <v>0</v>
      </c>
      <c r="JG7">
        <v>1</v>
      </c>
      <c r="JH7" s="116" t="s">
        <v>187</v>
      </c>
      <c r="JI7">
        <v>0</v>
      </c>
      <c r="JJ7">
        <v>0</v>
      </c>
      <c r="JK7">
        <v>0</v>
      </c>
      <c r="JL7" s="116" t="s">
        <v>187</v>
      </c>
      <c r="JM7">
        <v>0.125</v>
      </c>
      <c r="JN7">
        <v>0</v>
      </c>
      <c r="JO7">
        <v>1</v>
      </c>
      <c r="JP7" s="116" t="s">
        <v>187</v>
      </c>
      <c r="JQ7" s="116" t="s">
        <v>187</v>
      </c>
      <c r="JR7">
        <v>0</v>
      </c>
      <c r="JS7">
        <v>0</v>
      </c>
      <c r="JT7" s="116" t="s">
        <v>187</v>
      </c>
      <c r="JU7" s="116" t="s">
        <v>187</v>
      </c>
      <c r="JV7">
        <v>0</v>
      </c>
      <c r="JW7">
        <v>0</v>
      </c>
      <c r="JX7" s="116" t="s">
        <v>187</v>
      </c>
      <c r="JY7" s="116" t="s">
        <v>187</v>
      </c>
      <c r="JZ7">
        <v>0</v>
      </c>
      <c r="KA7">
        <v>0</v>
      </c>
      <c r="KB7" s="116" t="s">
        <v>187</v>
      </c>
      <c r="KC7" s="116" t="s">
        <v>187</v>
      </c>
      <c r="KD7">
        <v>0</v>
      </c>
      <c r="KE7">
        <v>0</v>
      </c>
      <c r="KF7" s="116" t="s">
        <v>187</v>
      </c>
      <c r="KG7" s="116" t="s">
        <v>187</v>
      </c>
      <c r="KH7">
        <v>0</v>
      </c>
      <c r="KI7">
        <v>0</v>
      </c>
      <c r="KJ7" s="116" t="s">
        <v>187</v>
      </c>
      <c r="KK7" s="116" t="s">
        <v>187</v>
      </c>
      <c r="KL7">
        <v>0</v>
      </c>
      <c r="KM7">
        <v>0</v>
      </c>
      <c r="KN7" s="116" t="s">
        <v>187</v>
      </c>
      <c r="KO7" s="116" t="s">
        <v>187</v>
      </c>
      <c r="KP7">
        <v>0</v>
      </c>
      <c r="KQ7">
        <v>0</v>
      </c>
      <c r="KR7" s="116" t="s">
        <v>187</v>
      </c>
      <c r="KS7" s="116" t="s">
        <v>187</v>
      </c>
      <c r="KT7">
        <v>0</v>
      </c>
      <c r="KU7">
        <v>0</v>
      </c>
      <c r="KV7" s="116" t="s">
        <v>187</v>
      </c>
      <c r="KW7" s="116" t="s">
        <v>187</v>
      </c>
      <c r="KX7">
        <v>0</v>
      </c>
      <c r="KY7">
        <v>0</v>
      </c>
      <c r="KZ7" s="116" t="s">
        <v>187</v>
      </c>
      <c r="LA7" s="116" t="s">
        <v>187</v>
      </c>
      <c r="LB7">
        <v>0</v>
      </c>
      <c r="LC7">
        <v>0</v>
      </c>
      <c r="LD7">
        <v>0</v>
      </c>
      <c r="LE7">
        <v>0</v>
      </c>
      <c r="LF7">
        <v>0</v>
      </c>
      <c r="LG7">
        <v>0</v>
      </c>
      <c r="LH7">
        <v>0.2857142857142857</v>
      </c>
      <c r="LI7">
        <v>0.21428571428571427</v>
      </c>
      <c r="LJ7">
        <v>0</v>
      </c>
      <c r="LK7">
        <v>7.1428571428571425E-2</v>
      </c>
    </row>
    <row r="8" spans="1:323" x14ac:dyDescent="0.25">
      <c r="A8" t="s">
        <v>12</v>
      </c>
      <c r="B8" t="s">
        <v>56</v>
      </c>
      <c r="C8" t="s">
        <v>158</v>
      </c>
      <c r="D8">
        <v>9.4043887147335428E-3</v>
      </c>
      <c r="E8">
        <v>6.5830721003134793E-2</v>
      </c>
      <c r="F8">
        <v>0.19435736677115986</v>
      </c>
      <c r="G8">
        <v>0.47335423197492166</v>
      </c>
      <c r="H8">
        <v>0.25705329153605017</v>
      </c>
      <c r="I8">
        <v>1.1579818031430935E-2</v>
      </c>
      <c r="J8">
        <v>6.1621174524400329E-2</v>
      </c>
      <c r="K8">
        <v>0.21464019851116625</v>
      </c>
      <c r="L8">
        <v>0.44582299421009097</v>
      </c>
      <c r="M8">
        <v>0.26633581472291151</v>
      </c>
      <c r="N8">
        <v>0.52380952380952384</v>
      </c>
      <c r="O8">
        <v>0.47619047619047616</v>
      </c>
      <c r="P8">
        <v>0.57046979865771807</v>
      </c>
      <c r="Q8">
        <v>0.42953020134228193</v>
      </c>
      <c r="R8">
        <v>21</v>
      </c>
      <c r="S8">
        <v>46.333333333333336</v>
      </c>
      <c r="T8">
        <v>4</v>
      </c>
      <c r="U8">
        <v>8.4761904761904763</v>
      </c>
      <c r="V8">
        <v>3.9047619047619047</v>
      </c>
      <c r="W8">
        <v>33.19047619047619</v>
      </c>
      <c r="X8">
        <v>149</v>
      </c>
      <c r="Y8">
        <v>45.778523489932887</v>
      </c>
      <c r="Z8">
        <v>13</v>
      </c>
      <c r="AA8">
        <v>14.100671140939598</v>
      </c>
      <c r="AB8">
        <v>4.798657718120805</v>
      </c>
      <c r="AC8">
        <v>37.973154362416111</v>
      </c>
      <c r="AD8">
        <v>0.54166666666666663</v>
      </c>
      <c r="AE8">
        <v>0.44230769230769229</v>
      </c>
      <c r="AF8">
        <v>52</v>
      </c>
      <c r="AG8">
        <v>552</v>
      </c>
      <c r="AH8">
        <v>0.40625</v>
      </c>
      <c r="AI8">
        <v>0.52804487179487181</v>
      </c>
      <c r="AJ8">
        <v>39</v>
      </c>
      <c r="AK8">
        <v>659</v>
      </c>
      <c r="AL8">
        <v>5.2083333333333336E-2</v>
      </c>
      <c r="AM8">
        <v>1.0416666666666666E-2</v>
      </c>
      <c r="AN8">
        <v>5</v>
      </c>
      <c r="AO8">
        <v>13</v>
      </c>
      <c r="AP8">
        <v>0</v>
      </c>
      <c r="AQ8">
        <v>1.282051282051282E-2</v>
      </c>
      <c r="AR8">
        <v>0</v>
      </c>
      <c r="AS8">
        <v>16</v>
      </c>
      <c r="AT8">
        <v>0</v>
      </c>
      <c r="AU8">
        <v>6.41025641025641E-3</v>
      </c>
      <c r="AV8">
        <v>0</v>
      </c>
      <c r="AW8">
        <v>8</v>
      </c>
      <c r="AX8">
        <v>0</v>
      </c>
      <c r="AY8">
        <v>0</v>
      </c>
      <c r="AZ8">
        <v>0</v>
      </c>
      <c r="BA8">
        <v>0</v>
      </c>
      <c r="BB8">
        <v>0.14285714285714285</v>
      </c>
      <c r="BC8">
        <v>2.6666666666666665</v>
      </c>
      <c r="BD8">
        <v>0.19047619047619047</v>
      </c>
      <c r="BE8">
        <v>1.1904761904761905</v>
      </c>
      <c r="BF8">
        <v>0</v>
      </c>
      <c r="BG8" s="116" t="s">
        <v>187</v>
      </c>
      <c r="BH8">
        <v>0.28859060402684567</v>
      </c>
      <c r="BI8">
        <v>6.0067114093959733</v>
      </c>
      <c r="BJ8">
        <v>5.3691275167785234E-2</v>
      </c>
      <c r="BK8">
        <v>0.70469798657718119</v>
      </c>
      <c r="BL8">
        <v>2.6845637583892617E-2</v>
      </c>
      <c r="BM8">
        <v>0.66442953020134232</v>
      </c>
      <c r="BN8">
        <v>0.21951219512195122</v>
      </c>
      <c r="BO8">
        <v>0.27272727272727271</v>
      </c>
      <c r="BP8">
        <v>18</v>
      </c>
      <c r="BQ8">
        <v>195</v>
      </c>
      <c r="BR8">
        <v>0.17073170731707318</v>
      </c>
      <c r="BS8">
        <v>0.14265734265734265</v>
      </c>
      <c r="BT8">
        <v>14</v>
      </c>
      <c r="BU8">
        <v>102</v>
      </c>
      <c r="BV8">
        <v>0.10975609756097561</v>
      </c>
      <c r="BW8">
        <v>6.7132867132867133E-2</v>
      </c>
      <c r="BX8">
        <v>9</v>
      </c>
      <c r="BY8">
        <v>48</v>
      </c>
      <c r="BZ8">
        <v>4.878048780487805E-2</v>
      </c>
      <c r="CA8">
        <v>7.2727272727272724E-2</v>
      </c>
      <c r="CB8">
        <v>4</v>
      </c>
      <c r="CC8">
        <v>52</v>
      </c>
      <c r="CD8">
        <v>9.7560975609756101E-2</v>
      </c>
      <c r="CE8">
        <v>5.1748251748251747E-2</v>
      </c>
      <c r="CF8">
        <v>8</v>
      </c>
      <c r="CG8">
        <v>37</v>
      </c>
      <c r="CH8">
        <v>2.4390243902439025E-2</v>
      </c>
      <c r="CI8">
        <v>3.6363636363636362E-2</v>
      </c>
      <c r="CJ8">
        <v>2</v>
      </c>
      <c r="CK8">
        <v>26</v>
      </c>
      <c r="CL8">
        <v>0</v>
      </c>
      <c r="CM8">
        <v>0</v>
      </c>
      <c r="CN8">
        <v>0</v>
      </c>
      <c r="CO8">
        <v>0</v>
      </c>
      <c r="CP8">
        <v>8.5365853658536592E-2</v>
      </c>
      <c r="CQ8">
        <v>3.9160839160839164E-2</v>
      </c>
      <c r="CR8">
        <v>7</v>
      </c>
      <c r="CS8">
        <v>28</v>
      </c>
      <c r="CT8">
        <v>4.878048780487805E-2</v>
      </c>
      <c r="CU8">
        <v>4.8951048951048952E-2</v>
      </c>
      <c r="CV8">
        <v>4</v>
      </c>
      <c r="CW8">
        <v>35</v>
      </c>
      <c r="CX8">
        <v>0.1951219512195122</v>
      </c>
      <c r="CY8">
        <v>0.24615384615384617</v>
      </c>
      <c r="CZ8">
        <v>16</v>
      </c>
      <c r="DA8">
        <v>176</v>
      </c>
      <c r="DB8">
        <v>0</v>
      </c>
      <c r="DC8">
        <v>2.2377622377622419E-2</v>
      </c>
      <c r="DD8">
        <v>0</v>
      </c>
      <c r="DE8">
        <v>0</v>
      </c>
      <c r="DF8">
        <v>0.19047619047619047</v>
      </c>
      <c r="DG8">
        <v>0.13422818791946309</v>
      </c>
      <c r="DH8">
        <v>4</v>
      </c>
      <c r="DI8">
        <v>20</v>
      </c>
      <c r="DJ8">
        <v>4.7619047619047616E-2</v>
      </c>
      <c r="DK8">
        <v>7.3825503355704702E-2</v>
      </c>
      <c r="DL8">
        <v>1</v>
      </c>
      <c r="DM8">
        <v>11</v>
      </c>
      <c r="DN8">
        <v>9.5238095238095233E-2</v>
      </c>
      <c r="DO8">
        <v>0.12080536912751678</v>
      </c>
      <c r="DP8">
        <v>2</v>
      </c>
      <c r="DQ8">
        <v>18</v>
      </c>
      <c r="DR8">
        <v>0</v>
      </c>
      <c r="DS8">
        <v>6.7114093959731542E-3</v>
      </c>
      <c r="DT8">
        <v>0</v>
      </c>
      <c r="DU8">
        <v>1</v>
      </c>
      <c r="DV8">
        <v>4.7619047619047616E-2</v>
      </c>
      <c r="DW8">
        <v>0.13422818791946309</v>
      </c>
      <c r="DX8">
        <v>1</v>
      </c>
      <c r="DY8">
        <v>20</v>
      </c>
      <c r="DZ8">
        <v>0.14285714285714285</v>
      </c>
      <c r="EA8">
        <v>8.7248322147651006E-2</v>
      </c>
      <c r="EB8">
        <v>3</v>
      </c>
      <c r="EC8">
        <v>13</v>
      </c>
      <c r="ED8">
        <v>0.42857142857142855</v>
      </c>
      <c r="EE8">
        <v>0.3825503355704698</v>
      </c>
      <c r="EF8">
        <v>9</v>
      </c>
      <c r="EG8">
        <v>57</v>
      </c>
      <c r="EH8">
        <v>4.7619047619047672E-2</v>
      </c>
      <c r="EI8">
        <v>6.0402684563758413E-2</v>
      </c>
      <c r="EJ8">
        <v>1.0000000000000011</v>
      </c>
      <c r="EK8">
        <v>9.0000000000000036</v>
      </c>
      <c r="EL8">
        <v>0</v>
      </c>
      <c r="EM8">
        <v>9.3959731543624164E-2</v>
      </c>
      <c r="EN8">
        <v>0</v>
      </c>
      <c r="EO8">
        <v>14</v>
      </c>
      <c r="EP8">
        <v>0.47619047619047616</v>
      </c>
      <c r="EQ8">
        <v>6.7114093959731544E-2</v>
      </c>
      <c r="ER8">
        <v>10</v>
      </c>
      <c r="ES8">
        <v>10</v>
      </c>
      <c r="ET8">
        <v>0.23809523809523808</v>
      </c>
      <c r="EU8">
        <v>0.50335570469798663</v>
      </c>
      <c r="EV8">
        <v>5</v>
      </c>
      <c r="EW8">
        <v>75</v>
      </c>
      <c r="EX8">
        <v>0</v>
      </c>
      <c r="EY8">
        <v>6.7114093959731544E-2</v>
      </c>
      <c r="EZ8">
        <v>0</v>
      </c>
      <c r="FA8">
        <v>10</v>
      </c>
      <c r="FB8">
        <v>0</v>
      </c>
      <c r="FC8">
        <v>8.7248322147651006E-2</v>
      </c>
      <c r="FD8">
        <v>0</v>
      </c>
      <c r="FE8">
        <v>13</v>
      </c>
      <c r="FF8">
        <v>0</v>
      </c>
      <c r="FG8">
        <v>0.13422818791946309</v>
      </c>
      <c r="FH8">
        <v>0</v>
      </c>
      <c r="FI8">
        <v>20</v>
      </c>
      <c r="FJ8">
        <v>0.2857142857142857</v>
      </c>
      <c r="FK8">
        <v>4.6979865771812082E-2</v>
      </c>
      <c r="FL8">
        <v>6</v>
      </c>
      <c r="FM8">
        <v>7</v>
      </c>
      <c r="FN8">
        <v>8</v>
      </c>
      <c r="FO8">
        <v>37</v>
      </c>
      <c r="FP8">
        <v>8</v>
      </c>
      <c r="FQ8">
        <v>37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0.5</v>
      </c>
      <c r="GA8">
        <v>0.48648648648648651</v>
      </c>
      <c r="GB8">
        <v>4</v>
      </c>
      <c r="GC8">
        <v>18</v>
      </c>
      <c r="GD8">
        <v>0</v>
      </c>
      <c r="GE8">
        <v>0</v>
      </c>
      <c r="GF8">
        <v>0</v>
      </c>
      <c r="GG8">
        <v>0</v>
      </c>
      <c r="GH8">
        <v>0</v>
      </c>
      <c r="GI8">
        <v>5.4054054054054057E-2</v>
      </c>
      <c r="GJ8">
        <v>0</v>
      </c>
      <c r="GK8">
        <v>2</v>
      </c>
      <c r="GL8">
        <v>0</v>
      </c>
      <c r="GM8">
        <v>0.32432432432432434</v>
      </c>
      <c r="GN8">
        <v>0</v>
      </c>
      <c r="GO8">
        <v>12</v>
      </c>
      <c r="GP8">
        <v>0.5</v>
      </c>
      <c r="GQ8">
        <v>0.13513513513513514</v>
      </c>
      <c r="GR8">
        <v>4</v>
      </c>
      <c r="GS8">
        <v>5</v>
      </c>
      <c r="GT8">
        <v>4.7619047619047616E-2</v>
      </c>
      <c r="GU8">
        <v>7.3825503355704702E-2</v>
      </c>
      <c r="GV8">
        <v>1</v>
      </c>
      <c r="GW8">
        <v>11</v>
      </c>
      <c r="GX8">
        <v>4.7619047619047616E-2</v>
      </c>
      <c r="GY8">
        <v>7.3825503355704702E-2</v>
      </c>
      <c r="GZ8">
        <v>1</v>
      </c>
      <c r="HA8">
        <v>11</v>
      </c>
      <c r="HB8">
        <v>0</v>
      </c>
      <c r="HC8">
        <v>0</v>
      </c>
      <c r="HD8">
        <v>0</v>
      </c>
      <c r="HE8">
        <v>0</v>
      </c>
      <c r="HF8">
        <v>0</v>
      </c>
      <c r="HG8">
        <v>0</v>
      </c>
      <c r="HH8">
        <v>0</v>
      </c>
      <c r="HI8">
        <v>0</v>
      </c>
      <c r="HJ8">
        <v>0</v>
      </c>
      <c r="HK8">
        <v>6.7114093959731542E-3</v>
      </c>
      <c r="HL8">
        <v>0</v>
      </c>
      <c r="HM8">
        <v>1</v>
      </c>
      <c r="HN8">
        <v>0</v>
      </c>
      <c r="HO8">
        <v>0</v>
      </c>
      <c r="HP8">
        <v>0</v>
      </c>
      <c r="HQ8">
        <v>0</v>
      </c>
      <c r="HR8">
        <v>0.8571428571428571</v>
      </c>
      <c r="HS8">
        <v>0.81208053691275173</v>
      </c>
      <c r="HT8">
        <v>18</v>
      </c>
      <c r="HU8">
        <v>121</v>
      </c>
      <c r="HV8">
        <v>4.7619047619047616E-2</v>
      </c>
      <c r="HW8">
        <v>3.3557046979865772E-2</v>
      </c>
      <c r="HX8">
        <v>1</v>
      </c>
      <c r="HY8">
        <v>5</v>
      </c>
      <c r="HZ8">
        <v>0.33333333333333331</v>
      </c>
      <c r="IA8">
        <v>0.48888888888888887</v>
      </c>
      <c r="IB8">
        <v>1</v>
      </c>
      <c r="IC8">
        <v>22</v>
      </c>
      <c r="ID8">
        <v>0.33333333333333331</v>
      </c>
      <c r="IE8">
        <v>8.8888888888888892E-2</v>
      </c>
      <c r="IF8">
        <v>1</v>
      </c>
      <c r="IG8">
        <v>4</v>
      </c>
      <c r="IH8">
        <v>0</v>
      </c>
      <c r="II8">
        <v>6.6666666666666666E-2</v>
      </c>
      <c r="IJ8">
        <v>0</v>
      </c>
      <c r="IK8">
        <v>3</v>
      </c>
      <c r="IL8">
        <v>0</v>
      </c>
      <c r="IM8">
        <v>8.8888888888888892E-2</v>
      </c>
      <c r="IN8">
        <v>0</v>
      </c>
      <c r="IO8">
        <v>4</v>
      </c>
      <c r="IP8">
        <v>0.33333333333333331</v>
      </c>
      <c r="IQ8">
        <v>0.26666666666666666</v>
      </c>
      <c r="IR8">
        <v>1</v>
      </c>
      <c r="IS8">
        <v>12</v>
      </c>
      <c r="IT8">
        <v>69.5</v>
      </c>
      <c r="IU8">
        <v>66.038461538461533</v>
      </c>
      <c r="IV8">
        <v>0.5</v>
      </c>
      <c r="IW8">
        <v>0.61538461538461542</v>
      </c>
      <c r="IX8">
        <v>1</v>
      </c>
      <c r="IY8">
        <v>16</v>
      </c>
      <c r="IZ8">
        <v>0.5</v>
      </c>
      <c r="JA8">
        <v>3.8461538461538464E-2</v>
      </c>
      <c r="JB8">
        <v>1</v>
      </c>
      <c r="JC8">
        <v>1</v>
      </c>
      <c r="JD8">
        <v>0</v>
      </c>
      <c r="JE8">
        <v>0.11538461538461539</v>
      </c>
      <c r="JF8">
        <v>0</v>
      </c>
      <c r="JG8">
        <v>3</v>
      </c>
      <c r="JH8">
        <v>0</v>
      </c>
      <c r="JI8">
        <v>3.8461538461538464E-2</v>
      </c>
      <c r="JJ8">
        <v>0</v>
      </c>
      <c r="JK8">
        <v>1</v>
      </c>
      <c r="JL8">
        <v>0</v>
      </c>
      <c r="JM8">
        <v>0.19230769230769232</v>
      </c>
      <c r="JN8">
        <v>0</v>
      </c>
      <c r="JO8">
        <v>5</v>
      </c>
      <c r="JP8">
        <v>0</v>
      </c>
      <c r="JQ8">
        <v>0</v>
      </c>
      <c r="JR8">
        <v>0</v>
      </c>
      <c r="JS8">
        <v>0</v>
      </c>
      <c r="JT8">
        <v>1</v>
      </c>
      <c r="JU8">
        <v>0.875</v>
      </c>
      <c r="JV8">
        <v>4</v>
      </c>
      <c r="JW8">
        <v>7</v>
      </c>
      <c r="JX8">
        <v>0</v>
      </c>
      <c r="JY8">
        <v>0</v>
      </c>
      <c r="JZ8">
        <v>0</v>
      </c>
      <c r="KA8">
        <v>0</v>
      </c>
      <c r="KB8">
        <v>0</v>
      </c>
      <c r="KC8">
        <v>0.125</v>
      </c>
      <c r="KD8">
        <v>0</v>
      </c>
      <c r="KE8">
        <v>1</v>
      </c>
      <c r="KF8">
        <v>0</v>
      </c>
      <c r="KG8">
        <v>0</v>
      </c>
      <c r="KH8">
        <v>0</v>
      </c>
      <c r="KI8">
        <v>0</v>
      </c>
      <c r="KJ8">
        <v>0.25</v>
      </c>
      <c r="KK8">
        <v>0.5</v>
      </c>
      <c r="KL8">
        <v>1</v>
      </c>
      <c r="KM8">
        <v>4</v>
      </c>
      <c r="KN8">
        <v>0</v>
      </c>
      <c r="KO8">
        <v>0</v>
      </c>
      <c r="KP8">
        <v>0</v>
      </c>
      <c r="KQ8">
        <v>0</v>
      </c>
      <c r="KR8">
        <v>0</v>
      </c>
      <c r="KS8">
        <v>0</v>
      </c>
      <c r="KT8">
        <v>0</v>
      </c>
      <c r="KU8">
        <v>0</v>
      </c>
      <c r="KV8">
        <v>0</v>
      </c>
      <c r="KW8">
        <v>0</v>
      </c>
      <c r="KX8">
        <v>0</v>
      </c>
      <c r="KY8">
        <v>0</v>
      </c>
      <c r="KZ8">
        <v>0.75</v>
      </c>
      <c r="LA8">
        <v>0.5</v>
      </c>
      <c r="LB8">
        <v>3</v>
      </c>
      <c r="LC8">
        <v>4</v>
      </c>
      <c r="LD8">
        <v>0.47619047619047616</v>
      </c>
      <c r="LE8">
        <v>0.42857142857142855</v>
      </c>
      <c r="LF8">
        <v>0</v>
      </c>
      <c r="LG8">
        <v>4.7619047619047616E-2</v>
      </c>
      <c r="LH8">
        <v>0.41610738255033558</v>
      </c>
      <c r="LI8">
        <v>0.36912751677852351</v>
      </c>
      <c r="LJ8">
        <v>6.7114093959731542E-3</v>
      </c>
      <c r="LK8">
        <v>4.0268456375838924E-2</v>
      </c>
    </row>
    <row r="9" spans="1:323" x14ac:dyDescent="0.25">
      <c r="A9" t="s">
        <v>12</v>
      </c>
      <c r="B9" t="s">
        <v>57</v>
      </c>
      <c r="C9" t="s">
        <v>159</v>
      </c>
      <c r="D9">
        <v>9.4043887147335428E-3</v>
      </c>
      <c r="E9">
        <v>6.5830721003134793E-2</v>
      </c>
      <c r="F9">
        <v>0.19435736677115986</v>
      </c>
      <c r="G9">
        <v>0.47335423197492166</v>
      </c>
      <c r="H9">
        <v>0.25705329153605017</v>
      </c>
      <c r="I9">
        <v>1.1579818031430935E-2</v>
      </c>
      <c r="J9">
        <v>6.1621174524400329E-2</v>
      </c>
      <c r="K9">
        <v>0.21464019851116625</v>
      </c>
      <c r="L9">
        <v>0.44582299421009097</v>
      </c>
      <c r="M9">
        <v>0.26633581472291151</v>
      </c>
      <c r="N9">
        <v>0.69354838709677424</v>
      </c>
      <c r="O9">
        <v>0.30645161290322576</v>
      </c>
      <c r="P9">
        <v>0.65895953757225434</v>
      </c>
      <c r="Q9">
        <v>0.34104046242774566</v>
      </c>
      <c r="R9">
        <v>62</v>
      </c>
      <c r="S9">
        <v>56.29032258064516</v>
      </c>
      <c r="T9">
        <v>5</v>
      </c>
      <c r="U9">
        <v>9.8548387096774199</v>
      </c>
      <c r="V9">
        <v>3.7580645161290325</v>
      </c>
      <c r="W9">
        <v>31.43548387096774</v>
      </c>
      <c r="X9">
        <v>519</v>
      </c>
      <c r="Y9">
        <v>55.188824662813104</v>
      </c>
      <c r="Z9">
        <v>40</v>
      </c>
      <c r="AA9">
        <v>12.921001926782274</v>
      </c>
      <c r="AB9">
        <v>4.5202312138728322</v>
      </c>
      <c r="AC9">
        <v>37.136801541425818</v>
      </c>
      <c r="AD9">
        <v>0.68965517241379315</v>
      </c>
      <c r="AE9">
        <v>0.60176557135850905</v>
      </c>
      <c r="AF9">
        <v>220</v>
      </c>
      <c r="AG9">
        <v>2454</v>
      </c>
      <c r="AH9">
        <v>0.30094043887147337</v>
      </c>
      <c r="AI9">
        <v>0.37788131436978911</v>
      </c>
      <c r="AJ9">
        <v>96</v>
      </c>
      <c r="AK9">
        <v>1541</v>
      </c>
      <c r="AL9">
        <v>9.4043887147335428E-3</v>
      </c>
      <c r="AM9">
        <v>1.8391368317802845E-2</v>
      </c>
      <c r="AN9">
        <v>3</v>
      </c>
      <c r="AO9">
        <v>75</v>
      </c>
      <c r="AP9">
        <v>0</v>
      </c>
      <c r="AQ9">
        <v>0</v>
      </c>
      <c r="AR9">
        <v>0</v>
      </c>
      <c r="AS9">
        <v>0</v>
      </c>
      <c r="AT9">
        <v>0</v>
      </c>
      <c r="AU9">
        <v>1.9617459538989702E-3</v>
      </c>
      <c r="AV9">
        <v>0</v>
      </c>
      <c r="AW9">
        <v>8</v>
      </c>
      <c r="AX9">
        <v>0</v>
      </c>
      <c r="AY9">
        <v>0</v>
      </c>
      <c r="AZ9">
        <v>0</v>
      </c>
      <c r="BA9">
        <v>0</v>
      </c>
      <c r="BB9">
        <v>0.29032258064516131</v>
      </c>
      <c r="BC9">
        <v>3.9838709677419355</v>
      </c>
      <c r="BD9">
        <v>4.8387096774193547E-2</v>
      </c>
      <c r="BE9">
        <v>1.5161290322580645</v>
      </c>
      <c r="BF9">
        <v>0</v>
      </c>
      <c r="BG9" s="116" t="s">
        <v>187</v>
      </c>
      <c r="BH9">
        <v>0.31021194605009633</v>
      </c>
      <c r="BI9">
        <v>7.2292870905587669</v>
      </c>
      <c r="BJ9">
        <v>6.1657032755298651E-2</v>
      </c>
      <c r="BK9">
        <v>1.3333333333333333</v>
      </c>
      <c r="BL9">
        <v>0</v>
      </c>
      <c r="BM9">
        <v>0</v>
      </c>
      <c r="BN9">
        <v>0.23605150214592274</v>
      </c>
      <c r="BO9">
        <v>0.27024722932651324</v>
      </c>
      <c r="BP9">
        <v>55</v>
      </c>
      <c r="BQ9">
        <v>634</v>
      </c>
      <c r="BR9">
        <v>0.18025751072961374</v>
      </c>
      <c r="BS9">
        <v>0.15942028985507245</v>
      </c>
      <c r="BT9">
        <v>42</v>
      </c>
      <c r="BU9">
        <v>374</v>
      </c>
      <c r="BV9">
        <v>6.8669527896995708E-2</v>
      </c>
      <c r="BW9">
        <v>5.7971014492753624E-2</v>
      </c>
      <c r="BX9">
        <v>16</v>
      </c>
      <c r="BY9">
        <v>136</v>
      </c>
      <c r="BZ9">
        <v>5.1502145922746781E-2</v>
      </c>
      <c r="CA9">
        <v>6.1381074168797956E-2</v>
      </c>
      <c r="CB9">
        <v>12</v>
      </c>
      <c r="CC9">
        <v>144</v>
      </c>
      <c r="CD9">
        <v>3.8626609442060089E-2</v>
      </c>
      <c r="CE9">
        <v>4.6035805626598467E-2</v>
      </c>
      <c r="CF9">
        <v>9</v>
      </c>
      <c r="CG9">
        <v>108</v>
      </c>
      <c r="CH9">
        <v>5.5793991416309016E-2</v>
      </c>
      <c r="CI9">
        <v>3.7084398976982097E-2</v>
      </c>
      <c r="CJ9">
        <v>13</v>
      </c>
      <c r="CK9">
        <v>87</v>
      </c>
      <c r="CL9">
        <v>0</v>
      </c>
      <c r="CM9">
        <v>0</v>
      </c>
      <c r="CN9">
        <v>0</v>
      </c>
      <c r="CO9">
        <v>0</v>
      </c>
      <c r="CP9">
        <v>1.2875536480686695E-2</v>
      </c>
      <c r="CQ9">
        <v>3.239556692242114E-2</v>
      </c>
      <c r="CR9">
        <v>3</v>
      </c>
      <c r="CS9">
        <v>76</v>
      </c>
      <c r="CT9">
        <v>6.4377682403433473E-2</v>
      </c>
      <c r="CU9">
        <v>5.285592497868713E-2</v>
      </c>
      <c r="CV9">
        <v>15</v>
      </c>
      <c r="CW9">
        <v>124</v>
      </c>
      <c r="CX9">
        <v>0.27896995708154504</v>
      </c>
      <c r="CY9">
        <v>0.25191815856777494</v>
      </c>
      <c r="CZ9">
        <v>65</v>
      </c>
      <c r="DA9">
        <v>591</v>
      </c>
      <c r="DB9">
        <v>1.2875536480686733E-2</v>
      </c>
      <c r="DC9">
        <v>3.0690537084398839E-2</v>
      </c>
      <c r="DD9">
        <v>3.0000000000000089</v>
      </c>
      <c r="DE9">
        <v>34.581818181818285</v>
      </c>
      <c r="DF9">
        <v>4.8387096774193547E-2</v>
      </c>
      <c r="DG9">
        <v>0.10597302504816955</v>
      </c>
      <c r="DH9">
        <v>3</v>
      </c>
      <c r="DI9">
        <v>55</v>
      </c>
      <c r="DJ9">
        <v>4.8387096774193547E-2</v>
      </c>
      <c r="DK9">
        <v>5.0096339113680152E-2</v>
      </c>
      <c r="DL9">
        <v>3</v>
      </c>
      <c r="DM9">
        <v>26</v>
      </c>
      <c r="DN9">
        <v>0.20967741935483872</v>
      </c>
      <c r="DO9">
        <v>0.13680154142581888</v>
      </c>
      <c r="DP9">
        <v>13</v>
      </c>
      <c r="DQ9">
        <v>71</v>
      </c>
      <c r="DR9">
        <v>3.2258064516129031E-2</v>
      </c>
      <c r="DS9">
        <v>1.9267822736030827E-2</v>
      </c>
      <c r="DT9">
        <v>2</v>
      </c>
      <c r="DU9">
        <v>10</v>
      </c>
      <c r="DV9">
        <v>0.14516129032258066</v>
      </c>
      <c r="DW9">
        <v>9.8265895953757232E-2</v>
      </c>
      <c r="DX9">
        <v>9</v>
      </c>
      <c r="DY9">
        <v>51</v>
      </c>
      <c r="DZ9">
        <v>4.8387096774193547E-2</v>
      </c>
      <c r="EA9">
        <v>9.6339113680154145E-2</v>
      </c>
      <c r="EB9">
        <v>3</v>
      </c>
      <c r="EC9">
        <v>50</v>
      </c>
      <c r="ED9">
        <v>0.38709677419354838</v>
      </c>
      <c r="EE9">
        <v>0.42003853564547206</v>
      </c>
      <c r="EF9">
        <v>24</v>
      </c>
      <c r="EG9">
        <v>218</v>
      </c>
      <c r="EH9">
        <v>8.064516129032262E-2</v>
      </c>
      <c r="EI9">
        <v>7.3217726396917149E-2</v>
      </c>
      <c r="EJ9">
        <v>5.0000000000000027</v>
      </c>
      <c r="EK9">
        <v>38</v>
      </c>
      <c r="EL9">
        <v>0</v>
      </c>
      <c r="EM9">
        <v>9.8265895953757232E-2</v>
      </c>
      <c r="EN9">
        <v>0</v>
      </c>
      <c r="EO9">
        <v>51</v>
      </c>
      <c r="EP9">
        <v>0.62903225806451613</v>
      </c>
      <c r="EQ9">
        <v>7.7071290944123308E-2</v>
      </c>
      <c r="ER9">
        <v>39</v>
      </c>
      <c r="ES9">
        <v>40</v>
      </c>
      <c r="ET9">
        <v>0.22580645161290322</v>
      </c>
      <c r="EU9">
        <v>0.50289017341040465</v>
      </c>
      <c r="EV9">
        <v>14</v>
      </c>
      <c r="EW9">
        <v>261</v>
      </c>
      <c r="EX9">
        <v>0</v>
      </c>
      <c r="EY9">
        <v>4.046242774566474E-2</v>
      </c>
      <c r="EZ9">
        <v>0</v>
      </c>
      <c r="FA9">
        <v>21</v>
      </c>
      <c r="FB9">
        <v>0</v>
      </c>
      <c r="FC9">
        <v>7.7071290944123308E-2</v>
      </c>
      <c r="FD9">
        <v>0</v>
      </c>
      <c r="FE9">
        <v>40</v>
      </c>
      <c r="FF9">
        <v>0</v>
      </c>
      <c r="FG9">
        <v>0.16955684007707128</v>
      </c>
      <c r="FH9">
        <v>0</v>
      </c>
      <c r="FI9">
        <v>88</v>
      </c>
      <c r="FJ9">
        <v>0.14516129032258066</v>
      </c>
      <c r="FK9">
        <v>3.4682080924855488E-2</v>
      </c>
      <c r="FL9">
        <v>9</v>
      </c>
      <c r="FM9">
        <v>18</v>
      </c>
      <c r="FN9">
        <v>9</v>
      </c>
      <c r="FO9">
        <v>108</v>
      </c>
      <c r="FP9">
        <v>9</v>
      </c>
      <c r="FQ9">
        <v>108</v>
      </c>
      <c r="FR9">
        <v>0</v>
      </c>
      <c r="FS9">
        <v>7.407407407407407E-2</v>
      </c>
      <c r="FT9">
        <v>0</v>
      </c>
      <c r="FU9">
        <v>8</v>
      </c>
      <c r="FV9">
        <v>0</v>
      </c>
      <c r="FW9">
        <v>0</v>
      </c>
      <c r="FX9">
        <v>0</v>
      </c>
      <c r="FY9">
        <v>0</v>
      </c>
      <c r="FZ9">
        <v>0.66666666666666663</v>
      </c>
      <c r="GA9">
        <v>0.45370370370370372</v>
      </c>
      <c r="GB9">
        <v>6</v>
      </c>
      <c r="GC9">
        <v>49</v>
      </c>
      <c r="GD9">
        <v>0</v>
      </c>
      <c r="GE9">
        <v>0</v>
      </c>
      <c r="GF9">
        <v>0</v>
      </c>
      <c r="GG9">
        <v>0</v>
      </c>
      <c r="GH9">
        <v>0</v>
      </c>
      <c r="GI9">
        <v>2.7777777777777776E-2</v>
      </c>
      <c r="GJ9">
        <v>0</v>
      </c>
      <c r="GK9">
        <v>3</v>
      </c>
      <c r="GL9">
        <v>0</v>
      </c>
      <c r="GM9">
        <v>0.37962962962962965</v>
      </c>
      <c r="GN9">
        <v>0</v>
      </c>
      <c r="GO9">
        <v>41</v>
      </c>
      <c r="GP9">
        <v>0.33333333333333331</v>
      </c>
      <c r="GQ9">
        <v>6.4814814814814811E-2</v>
      </c>
      <c r="GR9">
        <v>3</v>
      </c>
      <c r="GS9">
        <v>7</v>
      </c>
      <c r="GT9">
        <v>6.4516129032258063E-2</v>
      </c>
      <c r="GU9">
        <v>4.6242774566473986E-2</v>
      </c>
      <c r="GV9">
        <v>4</v>
      </c>
      <c r="GW9">
        <v>24</v>
      </c>
      <c r="GX9">
        <v>1.6129032258064516E-2</v>
      </c>
      <c r="GY9">
        <v>6.5510597302504817E-2</v>
      </c>
      <c r="GZ9">
        <v>1</v>
      </c>
      <c r="HA9">
        <v>34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0</v>
      </c>
      <c r="HQ9">
        <v>0</v>
      </c>
      <c r="HR9">
        <v>0.88709677419354838</v>
      </c>
      <c r="HS9">
        <v>0.8554913294797688</v>
      </c>
      <c r="HT9">
        <v>55</v>
      </c>
      <c r="HU9">
        <v>444</v>
      </c>
      <c r="HV9">
        <v>3.2258064516129031E-2</v>
      </c>
      <c r="HW9">
        <v>3.2755298651252408E-2</v>
      </c>
      <c r="HX9">
        <v>2</v>
      </c>
      <c r="HY9">
        <v>17</v>
      </c>
      <c r="HZ9">
        <v>0.3888888888888889</v>
      </c>
      <c r="IA9">
        <v>0.47619047619047616</v>
      </c>
      <c r="IB9">
        <v>7</v>
      </c>
      <c r="IC9">
        <v>80</v>
      </c>
      <c r="ID9">
        <v>5.5555555555555552E-2</v>
      </c>
      <c r="IE9">
        <v>0.18452380952380953</v>
      </c>
      <c r="IF9">
        <v>1</v>
      </c>
      <c r="IG9">
        <v>31</v>
      </c>
      <c r="IH9">
        <v>0.1111111111111111</v>
      </c>
      <c r="II9">
        <v>4.7619047619047616E-2</v>
      </c>
      <c r="IJ9">
        <v>2</v>
      </c>
      <c r="IK9">
        <v>8</v>
      </c>
      <c r="IL9">
        <v>0</v>
      </c>
      <c r="IM9">
        <v>2.976190476190476E-2</v>
      </c>
      <c r="IN9">
        <v>0</v>
      </c>
      <c r="IO9">
        <v>5</v>
      </c>
      <c r="IP9">
        <v>0.44444444444444442</v>
      </c>
      <c r="IQ9">
        <v>0.26190476190476192</v>
      </c>
      <c r="IR9">
        <v>8</v>
      </c>
      <c r="IS9">
        <v>44</v>
      </c>
      <c r="IT9">
        <v>104.16666666666667</v>
      </c>
      <c r="IU9">
        <v>73.745614035087726</v>
      </c>
      <c r="IV9">
        <v>0.41666666666666669</v>
      </c>
      <c r="IW9">
        <v>0.53508771929824561</v>
      </c>
      <c r="IX9">
        <v>5</v>
      </c>
      <c r="IY9">
        <v>61</v>
      </c>
      <c r="IZ9">
        <v>8.3333333333333329E-2</v>
      </c>
      <c r="JA9">
        <v>0.14035087719298245</v>
      </c>
      <c r="JB9">
        <v>1</v>
      </c>
      <c r="JC9">
        <v>16</v>
      </c>
      <c r="JD9">
        <v>0.16666666666666666</v>
      </c>
      <c r="JE9">
        <v>6.1403508771929821E-2</v>
      </c>
      <c r="JF9">
        <v>2</v>
      </c>
      <c r="JG9">
        <v>7</v>
      </c>
      <c r="JH9">
        <v>0</v>
      </c>
      <c r="JI9">
        <v>1.7543859649122806E-2</v>
      </c>
      <c r="JJ9">
        <v>0</v>
      </c>
      <c r="JK9">
        <v>2</v>
      </c>
      <c r="JL9">
        <v>0.33333333333333331</v>
      </c>
      <c r="JM9">
        <v>0.24561403508771928</v>
      </c>
      <c r="JN9">
        <v>4</v>
      </c>
      <c r="JO9">
        <v>28</v>
      </c>
      <c r="JP9">
        <v>1</v>
      </c>
      <c r="JQ9">
        <v>0.2</v>
      </c>
      <c r="JR9">
        <v>3</v>
      </c>
      <c r="JS9">
        <v>6</v>
      </c>
      <c r="JT9">
        <v>0</v>
      </c>
      <c r="JU9">
        <v>0.66666666666666663</v>
      </c>
      <c r="JV9">
        <v>0</v>
      </c>
      <c r="JW9">
        <v>20</v>
      </c>
      <c r="JX9">
        <v>0</v>
      </c>
      <c r="JY9">
        <v>0</v>
      </c>
      <c r="JZ9">
        <v>0</v>
      </c>
      <c r="KA9">
        <v>0</v>
      </c>
      <c r="KB9">
        <v>0</v>
      </c>
      <c r="KC9">
        <v>0</v>
      </c>
      <c r="KD9">
        <v>0</v>
      </c>
      <c r="KE9">
        <v>0</v>
      </c>
      <c r="KF9">
        <v>0</v>
      </c>
      <c r="KG9">
        <v>0.1333333333333333</v>
      </c>
      <c r="KH9">
        <v>0</v>
      </c>
      <c r="KI9">
        <v>4</v>
      </c>
      <c r="KJ9">
        <v>0</v>
      </c>
      <c r="KK9">
        <v>0.1</v>
      </c>
      <c r="KL9">
        <v>0</v>
      </c>
      <c r="KM9">
        <v>3</v>
      </c>
      <c r="KN9">
        <v>1</v>
      </c>
      <c r="KO9">
        <v>0.23333333333333334</v>
      </c>
      <c r="KP9">
        <v>3</v>
      </c>
      <c r="KQ9">
        <v>7</v>
      </c>
      <c r="KR9">
        <v>0</v>
      </c>
      <c r="KS9">
        <v>0.13333333333333333</v>
      </c>
      <c r="KT9">
        <v>0</v>
      </c>
      <c r="KU9">
        <v>4</v>
      </c>
      <c r="KV9">
        <v>0</v>
      </c>
      <c r="KW9">
        <v>0.16666666666666666</v>
      </c>
      <c r="KX9">
        <v>0</v>
      </c>
      <c r="KY9">
        <v>5</v>
      </c>
      <c r="KZ9">
        <v>0</v>
      </c>
      <c r="LA9">
        <v>0.3666666666666667</v>
      </c>
      <c r="LB9">
        <v>0</v>
      </c>
      <c r="LC9">
        <v>11</v>
      </c>
      <c r="LD9">
        <v>0.45161290322580644</v>
      </c>
      <c r="LE9">
        <v>0.38709677419354838</v>
      </c>
      <c r="LF9">
        <v>0</v>
      </c>
      <c r="LG9">
        <v>6.4516129032258063E-2</v>
      </c>
      <c r="LH9">
        <v>0.39691714836223507</v>
      </c>
      <c r="LI9">
        <v>0.34874759152215801</v>
      </c>
      <c r="LJ9">
        <v>9.6339113680154135E-3</v>
      </c>
      <c r="LK9">
        <v>3.8535645472061675E-2</v>
      </c>
    </row>
    <row r="10" spans="1:323" x14ac:dyDescent="0.25">
      <c r="A10" t="s">
        <v>12</v>
      </c>
      <c r="B10" t="s">
        <v>58</v>
      </c>
      <c r="C10" t="s">
        <v>160</v>
      </c>
      <c r="D10">
        <v>9.4043887147335428E-3</v>
      </c>
      <c r="E10">
        <v>6.5830721003134793E-2</v>
      </c>
      <c r="F10">
        <v>0.19435736677115986</v>
      </c>
      <c r="G10">
        <v>0.47335423197492166</v>
      </c>
      <c r="H10">
        <v>0.25705329153605017</v>
      </c>
      <c r="I10">
        <v>1.1579818031430935E-2</v>
      </c>
      <c r="J10">
        <v>6.1621174524400329E-2</v>
      </c>
      <c r="K10">
        <v>0.21464019851116625</v>
      </c>
      <c r="L10">
        <v>0.44582299421009097</v>
      </c>
      <c r="M10">
        <v>0.26633581472291151</v>
      </c>
      <c r="N10">
        <v>0.79470198675496684</v>
      </c>
      <c r="O10">
        <v>0.20529801324503316</v>
      </c>
      <c r="P10">
        <v>0.74953617810760664</v>
      </c>
      <c r="Q10">
        <v>0.25046382189239336</v>
      </c>
      <c r="R10">
        <v>151</v>
      </c>
      <c r="S10">
        <v>66.801324503311264</v>
      </c>
      <c r="T10">
        <v>18</v>
      </c>
      <c r="U10">
        <v>11.125827814569536</v>
      </c>
      <c r="V10">
        <v>4.4304635761589406</v>
      </c>
      <c r="W10">
        <v>29.258278145695364</v>
      </c>
      <c r="X10">
        <v>1078</v>
      </c>
      <c r="Y10">
        <v>66.545454545454547</v>
      </c>
      <c r="Z10">
        <v>117</v>
      </c>
      <c r="AA10">
        <v>11.397959183673469</v>
      </c>
      <c r="AB10">
        <v>4.1419294990723561</v>
      </c>
      <c r="AC10">
        <v>33.974953617810762</v>
      </c>
      <c r="AD10">
        <v>0.56967984934086624</v>
      </c>
      <c r="AE10">
        <v>0.54749015748031493</v>
      </c>
      <c r="AF10">
        <v>605</v>
      </c>
      <c r="AG10">
        <v>4450</v>
      </c>
      <c r="AH10">
        <v>0.40018832391713749</v>
      </c>
      <c r="AI10">
        <v>0.43085629921259844</v>
      </c>
      <c r="AJ10">
        <v>425</v>
      </c>
      <c r="AK10">
        <v>3502</v>
      </c>
      <c r="AL10">
        <v>1.8832391713747645E-2</v>
      </c>
      <c r="AM10">
        <v>1.7470472440944882E-2</v>
      </c>
      <c r="AN10">
        <v>20</v>
      </c>
      <c r="AO10">
        <v>142</v>
      </c>
      <c r="AP10">
        <v>0</v>
      </c>
      <c r="AQ10">
        <v>1.3533464566929134E-3</v>
      </c>
      <c r="AR10">
        <v>0</v>
      </c>
      <c r="AS10">
        <v>11</v>
      </c>
      <c r="AT10">
        <v>1.1299435028248588E-2</v>
      </c>
      <c r="AU10">
        <v>2.7066929133858267E-3</v>
      </c>
      <c r="AV10">
        <v>12</v>
      </c>
      <c r="AW10">
        <v>22</v>
      </c>
      <c r="AX10">
        <v>0</v>
      </c>
      <c r="AY10">
        <v>1.2303149606299212E-4</v>
      </c>
      <c r="AZ10">
        <v>0</v>
      </c>
      <c r="BA10">
        <v>1</v>
      </c>
      <c r="BB10">
        <v>0.20529801324503311</v>
      </c>
      <c r="BC10">
        <v>6.8410596026490067</v>
      </c>
      <c r="BD10">
        <v>5.9602649006622516E-2</v>
      </c>
      <c r="BE10">
        <v>0.79470198675496684</v>
      </c>
      <c r="BF10">
        <v>0</v>
      </c>
      <c r="BG10" s="116" t="s">
        <v>187</v>
      </c>
      <c r="BH10">
        <v>0.3432282003710575</v>
      </c>
      <c r="BI10">
        <v>8.3079777365491658</v>
      </c>
      <c r="BJ10">
        <v>6.4007421150278299E-2</v>
      </c>
      <c r="BK10">
        <v>1.5213358070500929</v>
      </c>
      <c r="BL10">
        <v>7.4211502782931356E-3</v>
      </c>
      <c r="BM10">
        <v>0.13636363636363635</v>
      </c>
      <c r="BN10">
        <v>0.20627802690582961</v>
      </c>
      <c r="BO10">
        <v>0.19955207166853303</v>
      </c>
      <c r="BP10">
        <v>138</v>
      </c>
      <c r="BQ10">
        <v>891</v>
      </c>
      <c r="BR10">
        <v>0.22122571001494767</v>
      </c>
      <c r="BS10">
        <v>0.18096304591265397</v>
      </c>
      <c r="BT10">
        <v>148</v>
      </c>
      <c r="BU10">
        <v>808</v>
      </c>
      <c r="BV10">
        <v>4.1853512705530643E-2</v>
      </c>
      <c r="BW10">
        <v>5.4647256438969762E-2</v>
      </c>
      <c r="BX10">
        <v>28</v>
      </c>
      <c r="BY10">
        <v>244</v>
      </c>
      <c r="BZ10">
        <v>5.5306427503736919E-2</v>
      </c>
      <c r="CA10">
        <v>6.2933930571108618E-2</v>
      </c>
      <c r="CB10">
        <v>37</v>
      </c>
      <c r="CC10">
        <v>281</v>
      </c>
      <c r="CD10">
        <v>4.3348281016442454E-2</v>
      </c>
      <c r="CE10">
        <v>5.6886898096304594E-2</v>
      </c>
      <c r="CF10">
        <v>29</v>
      </c>
      <c r="CG10">
        <v>254</v>
      </c>
      <c r="CH10">
        <v>4.0358744394618833E-2</v>
      </c>
      <c r="CI10">
        <v>4.0985442329227323E-2</v>
      </c>
      <c r="CJ10">
        <v>27</v>
      </c>
      <c r="CK10">
        <v>183</v>
      </c>
      <c r="CL10">
        <v>0</v>
      </c>
      <c r="CM10">
        <v>0</v>
      </c>
      <c r="CN10">
        <v>0</v>
      </c>
      <c r="CO10">
        <v>0</v>
      </c>
      <c r="CP10">
        <v>2.0926756352765322E-2</v>
      </c>
      <c r="CQ10">
        <v>2.553191489361702E-2</v>
      </c>
      <c r="CR10">
        <v>14</v>
      </c>
      <c r="CS10">
        <v>114</v>
      </c>
      <c r="CT10">
        <v>6.2780269058295965E-2</v>
      </c>
      <c r="CU10">
        <v>5.3751399776035831E-2</v>
      </c>
      <c r="CV10">
        <v>42</v>
      </c>
      <c r="CW10">
        <v>240</v>
      </c>
      <c r="CX10">
        <v>0.27952167414050821</v>
      </c>
      <c r="CY10">
        <v>0.29832026875699891</v>
      </c>
      <c r="CZ10">
        <v>187</v>
      </c>
      <c r="DA10">
        <v>1332</v>
      </c>
      <c r="DB10">
        <v>2.840059790732441E-2</v>
      </c>
      <c r="DC10">
        <v>2.642777155655085E-2</v>
      </c>
      <c r="DD10">
        <v>19.000000000000028</v>
      </c>
      <c r="DE10">
        <v>122.67391304347845</v>
      </c>
      <c r="DF10">
        <v>4.6357615894039736E-2</v>
      </c>
      <c r="DG10">
        <v>9.9257884972170682E-2</v>
      </c>
      <c r="DH10">
        <v>7</v>
      </c>
      <c r="DI10">
        <v>107</v>
      </c>
      <c r="DJ10">
        <v>3.9735099337748346E-2</v>
      </c>
      <c r="DK10">
        <v>5.1948051948051951E-2</v>
      </c>
      <c r="DL10">
        <v>6</v>
      </c>
      <c r="DM10">
        <v>56</v>
      </c>
      <c r="DN10">
        <v>0.14569536423841059</v>
      </c>
      <c r="DO10">
        <v>0.13358070500927643</v>
      </c>
      <c r="DP10">
        <v>22</v>
      </c>
      <c r="DQ10">
        <v>144</v>
      </c>
      <c r="DR10">
        <v>2.6490066225165563E-2</v>
      </c>
      <c r="DS10">
        <v>2.8756957328385901E-2</v>
      </c>
      <c r="DT10">
        <v>4</v>
      </c>
      <c r="DU10">
        <v>31</v>
      </c>
      <c r="DV10">
        <v>5.2980132450331126E-2</v>
      </c>
      <c r="DW10">
        <v>6.4007421150278299E-2</v>
      </c>
      <c r="DX10">
        <v>8</v>
      </c>
      <c r="DY10">
        <v>69</v>
      </c>
      <c r="DZ10">
        <v>6.6225165562913912E-2</v>
      </c>
      <c r="EA10">
        <v>0.1038961038961039</v>
      </c>
      <c r="EB10">
        <v>10</v>
      </c>
      <c r="EC10">
        <v>112</v>
      </c>
      <c r="ED10">
        <v>0.54304635761589404</v>
      </c>
      <c r="EE10">
        <v>0.44434137291280146</v>
      </c>
      <c r="EF10">
        <v>82</v>
      </c>
      <c r="EG10">
        <v>479</v>
      </c>
      <c r="EH10">
        <v>7.9470198675496651E-2</v>
      </c>
      <c r="EI10">
        <v>7.4211502782931316E-2</v>
      </c>
      <c r="EJ10">
        <v>11.999999999999995</v>
      </c>
      <c r="EK10">
        <v>79.999999999999957</v>
      </c>
      <c r="EL10">
        <v>0</v>
      </c>
      <c r="EM10">
        <v>9.5547309833024119E-2</v>
      </c>
      <c r="EN10">
        <v>0</v>
      </c>
      <c r="EO10">
        <v>103</v>
      </c>
      <c r="EP10">
        <v>0.56953642384105962</v>
      </c>
      <c r="EQ10">
        <v>8.1632653061224483E-2</v>
      </c>
      <c r="ER10">
        <v>86</v>
      </c>
      <c r="ES10">
        <v>88</v>
      </c>
      <c r="ET10">
        <v>0.24503311258278146</v>
      </c>
      <c r="EU10">
        <v>0.50371057513914652</v>
      </c>
      <c r="EV10">
        <v>37</v>
      </c>
      <c r="EW10">
        <v>543</v>
      </c>
      <c r="EX10">
        <v>0</v>
      </c>
      <c r="EY10">
        <v>4.6382189239332093E-2</v>
      </c>
      <c r="EZ10">
        <v>0</v>
      </c>
      <c r="FA10">
        <v>50</v>
      </c>
      <c r="FB10">
        <v>0</v>
      </c>
      <c r="FC10">
        <v>6.5862708719851573E-2</v>
      </c>
      <c r="FD10">
        <v>0</v>
      </c>
      <c r="FE10">
        <v>71</v>
      </c>
      <c r="FF10">
        <v>0</v>
      </c>
      <c r="FG10">
        <v>0.14935064935064934</v>
      </c>
      <c r="FH10">
        <v>0</v>
      </c>
      <c r="FI10">
        <v>161</v>
      </c>
      <c r="FJ10">
        <v>0.18543046357615894</v>
      </c>
      <c r="FK10">
        <v>5.7513914656771803E-2</v>
      </c>
      <c r="FL10">
        <v>28</v>
      </c>
      <c r="FM10">
        <v>62</v>
      </c>
      <c r="FN10">
        <v>29</v>
      </c>
      <c r="FO10">
        <v>254</v>
      </c>
      <c r="FP10">
        <v>29</v>
      </c>
      <c r="FQ10">
        <v>254</v>
      </c>
      <c r="FR10">
        <v>0</v>
      </c>
      <c r="FS10">
        <v>7.874015748031496E-2</v>
      </c>
      <c r="FT10">
        <v>0</v>
      </c>
      <c r="FU10">
        <v>20</v>
      </c>
      <c r="FV10">
        <v>0</v>
      </c>
      <c r="FW10">
        <v>0</v>
      </c>
      <c r="FX10">
        <v>0</v>
      </c>
      <c r="FY10">
        <v>0</v>
      </c>
      <c r="FZ10">
        <v>0.58620689655172409</v>
      </c>
      <c r="GA10">
        <v>0.48031496062992124</v>
      </c>
      <c r="GB10">
        <v>17</v>
      </c>
      <c r="GC10">
        <v>122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5.1181102362204724E-2</v>
      </c>
      <c r="GJ10">
        <v>0</v>
      </c>
      <c r="GK10">
        <v>13</v>
      </c>
      <c r="GL10">
        <v>0</v>
      </c>
      <c r="GM10">
        <v>0.29527559055118108</v>
      </c>
      <c r="GN10">
        <v>0</v>
      </c>
      <c r="GO10">
        <v>75</v>
      </c>
      <c r="GP10">
        <v>0.41379310344827586</v>
      </c>
      <c r="GQ10">
        <v>9.4488188976377951E-2</v>
      </c>
      <c r="GR10">
        <v>12</v>
      </c>
      <c r="GS10">
        <v>24</v>
      </c>
      <c r="GT10">
        <v>2.6490066225165563E-2</v>
      </c>
      <c r="GU10">
        <v>3.7105751391465679E-2</v>
      </c>
      <c r="GV10">
        <v>4</v>
      </c>
      <c r="GW10">
        <v>40</v>
      </c>
      <c r="GX10">
        <v>5.2980132450331126E-2</v>
      </c>
      <c r="GY10">
        <v>7.2356215213358069E-2</v>
      </c>
      <c r="GZ10">
        <v>8</v>
      </c>
      <c r="HA10">
        <v>78</v>
      </c>
      <c r="HB10">
        <v>0</v>
      </c>
      <c r="HC10">
        <v>9.2764378478664194E-4</v>
      </c>
      <c r="HD10">
        <v>0</v>
      </c>
      <c r="HE10">
        <v>1</v>
      </c>
      <c r="HF10">
        <v>0</v>
      </c>
      <c r="HG10">
        <v>9.2764378478664194E-4</v>
      </c>
      <c r="HH10">
        <v>0</v>
      </c>
      <c r="HI10">
        <v>1</v>
      </c>
      <c r="HJ10">
        <v>0</v>
      </c>
      <c r="HK10">
        <v>0</v>
      </c>
      <c r="HL10">
        <v>0</v>
      </c>
      <c r="HM10">
        <v>0</v>
      </c>
      <c r="HN10">
        <v>0</v>
      </c>
      <c r="HO10">
        <v>0</v>
      </c>
      <c r="HP10">
        <v>0</v>
      </c>
      <c r="HQ10">
        <v>0</v>
      </c>
      <c r="HR10">
        <v>0.84768211920529801</v>
      </c>
      <c r="HS10">
        <v>0.81168831168831168</v>
      </c>
      <c r="HT10">
        <v>128</v>
      </c>
      <c r="HU10">
        <v>875</v>
      </c>
      <c r="HV10">
        <v>7.2847682119205295E-2</v>
      </c>
      <c r="HW10">
        <v>7.6994434137291276E-2</v>
      </c>
      <c r="HX10">
        <v>11</v>
      </c>
      <c r="HY10">
        <v>83</v>
      </c>
      <c r="HZ10">
        <v>0.39393939393939392</v>
      </c>
      <c r="IA10">
        <v>0.4921875</v>
      </c>
      <c r="IB10">
        <v>13</v>
      </c>
      <c r="IC10">
        <v>189</v>
      </c>
      <c r="ID10">
        <v>0.30303030303030304</v>
      </c>
      <c r="IE10">
        <v>0.16927083333333334</v>
      </c>
      <c r="IF10">
        <v>10</v>
      </c>
      <c r="IG10">
        <v>65</v>
      </c>
      <c r="IH10">
        <v>3.0303030303030304E-2</v>
      </c>
      <c r="II10">
        <v>5.46875E-2</v>
      </c>
      <c r="IJ10">
        <v>1</v>
      </c>
      <c r="IK10">
        <v>21</v>
      </c>
      <c r="IL10">
        <v>3.0303030303030304E-2</v>
      </c>
      <c r="IM10">
        <v>4.9479166666666664E-2</v>
      </c>
      <c r="IN10">
        <v>1</v>
      </c>
      <c r="IO10">
        <v>19</v>
      </c>
      <c r="IP10">
        <v>0.24242424242424243</v>
      </c>
      <c r="IQ10">
        <v>0.234375</v>
      </c>
      <c r="IR10">
        <v>8</v>
      </c>
      <c r="IS10">
        <v>90</v>
      </c>
      <c r="IT10">
        <v>82.5</v>
      </c>
      <c r="IU10">
        <v>73.793893129770993</v>
      </c>
      <c r="IV10">
        <v>0.5</v>
      </c>
      <c r="IW10">
        <v>0.58778625954198471</v>
      </c>
      <c r="IX10">
        <v>12</v>
      </c>
      <c r="IY10">
        <v>154</v>
      </c>
      <c r="IZ10">
        <v>0.20833333333333334</v>
      </c>
      <c r="JA10">
        <v>0.14503816793893129</v>
      </c>
      <c r="JB10">
        <v>5</v>
      </c>
      <c r="JC10">
        <v>38</v>
      </c>
      <c r="JD10">
        <v>4.1666666666666664E-2</v>
      </c>
      <c r="JE10">
        <v>5.7251908396946563E-2</v>
      </c>
      <c r="JF10">
        <v>1</v>
      </c>
      <c r="JG10">
        <v>15</v>
      </c>
      <c r="JH10">
        <v>4.1666666666666664E-2</v>
      </c>
      <c r="JI10">
        <v>3.8167938931297711E-2</v>
      </c>
      <c r="JJ10">
        <v>1</v>
      </c>
      <c r="JK10">
        <v>10</v>
      </c>
      <c r="JL10">
        <v>0.20833333333333334</v>
      </c>
      <c r="JM10">
        <v>0.1717557251908397</v>
      </c>
      <c r="JN10">
        <v>5</v>
      </c>
      <c r="JO10">
        <v>45</v>
      </c>
      <c r="JP10">
        <v>0</v>
      </c>
      <c r="JQ10">
        <v>5.6338028169014086E-2</v>
      </c>
      <c r="JR10">
        <v>0</v>
      </c>
      <c r="JS10">
        <v>4</v>
      </c>
      <c r="JT10">
        <v>0.44444444444444442</v>
      </c>
      <c r="JU10">
        <v>0.647887323943662</v>
      </c>
      <c r="JV10">
        <v>4</v>
      </c>
      <c r="JW10">
        <v>46</v>
      </c>
      <c r="JX10">
        <v>0</v>
      </c>
      <c r="JY10">
        <v>0.12676056338028169</v>
      </c>
      <c r="JZ10">
        <v>0</v>
      </c>
      <c r="KA10">
        <v>9</v>
      </c>
      <c r="KB10">
        <v>0.55555555555555558</v>
      </c>
      <c r="KC10">
        <v>7.0422535211267609E-2</v>
      </c>
      <c r="KD10">
        <v>5</v>
      </c>
      <c r="KE10">
        <v>5</v>
      </c>
      <c r="KF10">
        <v>0</v>
      </c>
      <c r="KG10">
        <v>9.8591549295774628E-2</v>
      </c>
      <c r="KH10">
        <v>0</v>
      </c>
      <c r="KI10">
        <v>7</v>
      </c>
      <c r="KJ10">
        <v>0.1111111111111111</v>
      </c>
      <c r="KK10">
        <v>0.21126760563380281</v>
      </c>
      <c r="KL10">
        <v>1</v>
      </c>
      <c r="KM10">
        <v>15</v>
      </c>
      <c r="KN10">
        <v>0.33333333333333331</v>
      </c>
      <c r="KO10">
        <v>0.14084507042253522</v>
      </c>
      <c r="KP10">
        <v>3</v>
      </c>
      <c r="KQ10">
        <v>10</v>
      </c>
      <c r="KR10">
        <v>0</v>
      </c>
      <c r="KS10">
        <v>0.19718309859154928</v>
      </c>
      <c r="KT10">
        <v>0</v>
      </c>
      <c r="KU10">
        <v>14</v>
      </c>
      <c r="KV10">
        <v>0</v>
      </c>
      <c r="KW10">
        <v>5.6338028169014086E-2</v>
      </c>
      <c r="KX10">
        <v>0</v>
      </c>
      <c r="KY10">
        <v>4</v>
      </c>
      <c r="KZ10">
        <v>0.55555555555555558</v>
      </c>
      <c r="LA10">
        <v>0.39436619718309862</v>
      </c>
      <c r="LB10">
        <v>5</v>
      </c>
      <c r="LC10">
        <v>28</v>
      </c>
      <c r="LD10">
        <v>0.44370860927152317</v>
      </c>
      <c r="LE10">
        <v>0.38410596026490068</v>
      </c>
      <c r="LF10">
        <v>6.6225165562913907E-3</v>
      </c>
      <c r="LG10">
        <v>5.2980132450331119E-2</v>
      </c>
      <c r="LH10">
        <v>0.41651205936920221</v>
      </c>
      <c r="LI10">
        <v>0.3784786641929499</v>
      </c>
      <c r="LJ10">
        <v>1.1131725417439703E-2</v>
      </c>
      <c r="LK10">
        <v>2.6901669758812585E-2</v>
      </c>
    </row>
    <row r="11" spans="1:323" x14ac:dyDescent="0.25">
      <c r="A11" t="s">
        <v>12</v>
      </c>
      <c r="B11" t="s">
        <v>59</v>
      </c>
      <c r="C11" t="s">
        <v>161</v>
      </c>
      <c r="D11">
        <v>9.4043887147335428E-3</v>
      </c>
      <c r="E11">
        <v>6.5830721003134793E-2</v>
      </c>
      <c r="F11">
        <v>0.19435736677115986</v>
      </c>
      <c r="G11">
        <v>0.47335423197492166</v>
      </c>
      <c r="H11">
        <v>0.25705329153605017</v>
      </c>
      <c r="I11">
        <v>1.1579818031430935E-2</v>
      </c>
      <c r="J11">
        <v>6.1621174524400329E-2</v>
      </c>
      <c r="K11">
        <v>0.21464019851116625</v>
      </c>
      <c r="L11">
        <v>0.44582299421009097</v>
      </c>
      <c r="M11">
        <v>0.26633581472291151</v>
      </c>
      <c r="N11">
        <v>0.80487804878048785</v>
      </c>
      <c r="O11">
        <v>0.19512195121951215</v>
      </c>
      <c r="P11">
        <v>0.7003105590062112</v>
      </c>
      <c r="Q11">
        <v>0.2996894409937888</v>
      </c>
      <c r="R11">
        <v>82</v>
      </c>
      <c r="S11">
        <v>80.707317073170728</v>
      </c>
      <c r="T11">
        <v>19</v>
      </c>
      <c r="U11">
        <v>5.3414634146341466</v>
      </c>
      <c r="V11">
        <v>2.9146341463414633</v>
      </c>
      <c r="W11">
        <v>26.817073170731707</v>
      </c>
      <c r="X11">
        <v>644</v>
      </c>
      <c r="Y11">
        <v>80.83229813664596</v>
      </c>
      <c r="Z11">
        <v>136</v>
      </c>
      <c r="AA11">
        <v>6.2204968944099379</v>
      </c>
      <c r="AB11">
        <v>3.0077639751552794</v>
      </c>
      <c r="AC11">
        <v>25.451863354037268</v>
      </c>
      <c r="AD11">
        <v>0.46859903381642515</v>
      </c>
      <c r="AE11">
        <v>0.68690095846645371</v>
      </c>
      <c r="AF11">
        <v>97</v>
      </c>
      <c r="AG11">
        <v>1505</v>
      </c>
      <c r="AH11">
        <v>0.49275362318840582</v>
      </c>
      <c r="AI11">
        <v>0.25011410314924692</v>
      </c>
      <c r="AJ11">
        <v>102</v>
      </c>
      <c r="AK11">
        <v>548</v>
      </c>
      <c r="AL11">
        <v>2.8985507246376812E-2</v>
      </c>
      <c r="AM11">
        <v>2.4189867640346873E-2</v>
      </c>
      <c r="AN11">
        <v>6</v>
      </c>
      <c r="AO11">
        <v>53</v>
      </c>
      <c r="AP11">
        <v>9.6618357487922701E-3</v>
      </c>
      <c r="AQ11">
        <v>3.8795070743952532E-2</v>
      </c>
      <c r="AR11">
        <v>2</v>
      </c>
      <c r="AS11">
        <v>85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0.21951219512195122</v>
      </c>
      <c r="BC11">
        <v>5.7195121951219514</v>
      </c>
      <c r="BD11">
        <v>7.3170731707317069E-2</v>
      </c>
      <c r="BE11">
        <v>2.3292682926829267</v>
      </c>
      <c r="BF11">
        <v>0</v>
      </c>
      <c r="BG11" s="116" t="s">
        <v>187</v>
      </c>
      <c r="BH11">
        <v>0.34937888198757766</v>
      </c>
      <c r="BI11">
        <v>8.9145962732919255</v>
      </c>
      <c r="BJ11">
        <v>6.8322981366459631E-2</v>
      </c>
      <c r="BK11">
        <v>2.4798136645962732</v>
      </c>
      <c r="BL11">
        <v>4.658385093167702E-3</v>
      </c>
      <c r="BM11">
        <v>0.12111801242236025</v>
      </c>
      <c r="BN11">
        <v>9.6234309623430964E-2</v>
      </c>
      <c r="BO11">
        <v>9.2927207021166747E-2</v>
      </c>
      <c r="BP11">
        <v>23</v>
      </c>
      <c r="BQ11">
        <v>180</v>
      </c>
      <c r="BR11">
        <v>0.3723849372384937</v>
      </c>
      <c r="BS11">
        <v>0.27826535880227155</v>
      </c>
      <c r="BT11">
        <v>89</v>
      </c>
      <c r="BU11">
        <v>539</v>
      </c>
      <c r="BV11">
        <v>5.8577405857740586E-2</v>
      </c>
      <c r="BW11">
        <v>7.7955601445534331E-2</v>
      </c>
      <c r="BX11">
        <v>14</v>
      </c>
      <c r="BY11">
        <v>151</v>
      </c>
      <c r="BZ11">
        <v>2.0920502092050208E-2</v>
      </c>
      <c r="CA11">
        <v>4.4914816726897261E-2</v>
      </c>
      <c r="CB11">
        <v>5</v>
      </c>
      <c r="CC11">
        <v>87</v>
      </c>
      <c r="CD11">
        <v>3.3472803347280332E-2</v>
      </c>
      <c r="CE11">
        <v>4.2849767681982447E-2</v>
      </c>
      <c r="CF11">
        <v>8</v>
      </c>
      <c r="CG11">
        <v>83</v>
      </c>
      <c r="CH11">
        <v>2.5104602510460251E-2</v>
      </c>
      <c r="CI11">
        <v>3.4589571502323183E-2</v>
      </c>
      <c r="CJ11">
        <v>6</v>
      </c>
      <c r="CK11">
        <v>67</v>
      </c>
      <c r="CL11">
        <v>0</v>
      </c>
      <c r="CM11">
        <v>0</v>
      </c>
      <c r="CN11">
        <v>0</v>
      </c>
      <c r="CO11">
        <v>0</v>
      </c>
      <c r="CP11">
        <v>4.1841004184100415E-3</v>
      </c>
      <c r="CQ11">
        <v>3.7170882808466699E-2</v>
      </c>
      <c r="CR11">
        <v>1</v>
      </c>
      <c r="CS11">
        <v>72</v>
      </c>
      <c r="CT11">
        <v>4.6025104602510462E-2</v>
      </c>
      <c r="CU11">
        <v>5.7305110996386167E-2</v>
      </c>
      <c r="CV11">
        <v>11</v>
      </c>
      <c r="CW11">
        <v>111</v>
      </c>
      <c r="CX11">
        <v>0.32635983263598328</v>
      </c>
      <c r="CY11">
        <v>0.31078988125967993</v>
      </c>
      <c r="CZ11">
        <v>78</v>
      </c>
      <c r="DA11">
        <v>602</v>
      </c>
      <c r="DB11">
        <v>1.6736401673640211E-2</v>
      </c>
      <c r="DC11">
        <v>2.3231801755291714E-2</v>
      </c>
      <c r="DD11">
        <v>4.0000000000000107</v>
      </c>
      <c r="DE11">
        <v>31.304347826087039</v>
      </c>
      <c r="DF11">
        <v>4.878048780487805E-2</v>
      </c>
      <c r="DG11">
        <v>6.9875776397515521E-2</v>
      </c>
      <c r="DH11">
        <v>4</v>
      </c>
      <c r="DI11">
        <v>45</v>
      </c>
      <c r="DJ11">
        <v>0</v>
      </c>
      <c r="DK11">
        <v>2.4844720496894408E-2</v>
      </c>
      <c r="DL11">
        <v>0</v>
      </c>
      <c r="DM11">
        <v>16</v>
      </c>
      <c r="DN11">
        <v>7.3170731707317069E-2</v>
      </c>
      <c r="DO11">
        <v>9.3167701863354033E-2</v>
      </c>
      <c r="DP11">
        <v>6</v>
      </c>
      <c r="DQ11">
        <v>60</v>
      </c>
      <c r="DR11">
        <v>3.6585365853658534E-2</v>
      </c>
      <c r="DS11">
        <v>5.5900621118012424E-2</v>
      </c>
      <c r="DT11">
        <v>3</v>
      </c>
      <c r="DU11">
        <v>36</v>
      </c>
      <c r="DV11">
        <v>2.4390243902439025E-2</v>
      </c>
      <c r="DW11">
        <v>3.1055900621118012E-2</v>
      </c>
      <c r="DX11">
        <v>2</v>
      </c>
      <c r="DY11">
        <v>20</v>
      </c>
      <c r="DZ11">
        <v>3.6585365853658534E-2</v>
      </c>
      <c r="EA11">
        <v>7.2981366459627328E-2</v>
      </c>
      <c r="EB11">
        <v>3</v>
      </c>
      <c r="EC11">
        <v>47</v>
      </c>
      <c r="ED11">
        <v>0.71951219512195119</v>
      </c>
      <c r="EE11">
        <v>0.59472049689440998</v>
      </c>
      <c r="EF11">
        <v>59</v>
      </c>
      <c r="EG11">
        <v>383</v>
      </c>
      <c r="EH11">
        <v>6.0975609756097615E-2</v>
      </c>
      <c r="EI11">
        <v>5.7453416149068293E-2</v>
      </c>
      <c r="EJ11">
        <v>5.0000000000000044</v>
      </c>
      <c r="EK11">
        <v>36.999999999999986</v>
      </c>
      <c r="EL11">
        <v>0</v>
      </c>
      <c r="EM11">
        <v>0.11801242236024845</v>
      </c>
      <c r="EN11">
        <v>0</v>
      </c>
      <c r="EO11">
        <v>76</v>
      </c>
      <c r="EP11">
        <v>0.56097560975609762</v>
      </c>
      <c r="EQ11">
        <v>7.1428571428571425E-2</v>
      </c>
      <c r="ER11">
        <v>46</v>
      </c>
      <c r="ES11">
        <v>46</v>
      </c>
      <c r="ET11">
        <v>0.2073170731707317</v>
      </c>
      <c r="EU11">
        <v>0.41770186335403725</v>
      </c>
      <c r="EV11">
        <v>17</v>
      </c>
      <c r="EW11">
        <v>269</v>
      </c>
      <c r="EX11">
        <v>0</v>
      </c>
      <c r="EY11">
        <v>5.434782608695652E-2</v>
      </c>
      <c r="EZ11">
        <v>0</v>
      </c>
      <c r="FA11">
        <v>35</v>
      </c>
      <c r="FB11">
        <v>1.2195121951219513E-2</v>
      </c>
      <c r="FC11">
        <v>0.10869565217391304</v>
      </c>
      <c r="FD11">
        <v>1</v>
      </c>
      <c r="FE11">
        <v>70</v>
      </c>
      <c r="FF11">
        <v>0</v>
      </c>
      <c r="FG11">
        <v>0.18012422360248448</v>
      </c>
      <c r="FH11">
        <v>0</v>
      </c>
      <c r="FI11">
        <v>116</v>
      </c>
      <c r="FJ11">
        <v>0.21951219512195122</v>
      </c>
      <c r="FK11">
        <v>4.9689440993788817E-2</v>
      </c>
      <c r="FL11">
        <v>18</v>
      </c>
      <c r="FM11">
        <v>32</v>
      </c>
      <c r="FN11">
        <v>8</v>
      </c>
      <c r="FO11">
        <v>83</v>
      </c>
      <c r="FP11">
        <v>8</v>
      </c>
      <c r="FQ11">
        <v>83</v>
      </c>
      <c r="FR11">
        <v>0</v>
      </c>
      <c r="FS11">
        <v>0.13253012048192772</v>
      </c>
      <c r="FT11">
        <v>0</v>
      </c>
      <c r="FU11">
        <v>11</v>
      </c>
      <c r="FV11">
        <v>0</v>
      </c>
      <c r="FW11">
        <v>0</v>
      </c>
      <c r="FX11">
        <v>0</v>
      </c>
      <c r="FY11">
        <v>0</v>
      </c>
      <c r="FZ11">
        <v>0.375</v>
      </c>
      <c r="GA11">
        <v>0.31325301204819278</v>
      </c>
      <c r="GB11">
        <v>3</v>
      </c>
      <c r="GC11">
        <v>26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0.13253012048192772</v>
      </c>
      <c r="GJ11">
        <v>0</v>
      </c>
      <c r="GK11">
        <v>11</v>
      </c>
      <c r="GL11">
        <v>0</v>
      </c>
      <c r="GM11">
        <v>0.3253012048192771</v>
      </c>
      <c r="GN11">
        <v>0</v>
      </c>
      <c r="GO11">
        <v>27</v>
      </c>
      <c r="GP11">
        <v>0.625</v>
      </c>
      <c r="GQ11">
        <v>9.6385542168674704E-2</v>
      </c>
      <c r="GR11">
        <v>5</v>
      </c>
      <c r="GS11">
        <v>8</v>
      </c>
      <c r="GT11">
        <v>4.878048780487805E-2</v>
      </c>
      <c r="GU11">
        <v>4.9689440993788817E-2</v>
      </c>
      <c r="GV11">
        <v>4</v>
      </c>
      <c r="GW11">
        <v>32</v>
      </c>
      <c r="GX11">
        <v>9.7560975609756101E-2</v>
      </c>
      <c r="GY11">
        <v>8.2298136645962736E-2</v>
      </c>
      <c r="GZ11">
        <v>8</v>
      </c>
      <c r="HA11">
        <v>53</v>
      </c>
      <c r="HB11">
        <v>0</v>
      </c>
      <c r="HC11">
        <v>1.5527950310559005E-3</v>
      </c>
      <c r="HD11">
        <v>0</v>
      </c>
      <c r="HE11">
        <v>1</v>
      </c>
      <c r="HF11">
        <v>0</v>
      </c>
      <c r="HG11">
        <v>0</v>
      </c>
      <c r="HH11">
        <v>0</v>
      </c>
      <c r="HI11">
        <v>0</v>
      </c>
      <c r="HJ11">
        <v>0</v>
      </c>
      <c r="HK11">
        <v>0</v>
      </c>
      <c r="HL11">
        <v>0</v>
      </c>
      <c r="HM11">
        <v>0</v>
      </c>
      <c r="HN11">
        <v>0</v>
      </c>
      <c r="HO11">
        <v>0</v>
      </c>
      <c r="HP11">
        <v>0</v>
      </c>
      <c r="HQ11">
        <v>0</v>
      </c>
      <c r="HR11">
        <v>0.67073170731707321</v>
      </c>
      <c r="HS11">
        <v>0.72981366459627328</v>
      </c>
      <c r="HT11">
        <v>55</v>
      </c>
      <c r="HU11">
        <v>470</v>
      </c>
      <c r="HV11">
        <v>0.18292682926829268</v>
      </c>
      <c r="HW11">
        <v>0.13664596273291926</v>
      </c>
      <c r="HX11">
        <v>15</v>
      </c>
      <c r="HY11">
        <v>88</v>
      </c>
      <c r="HZ11">
        <v>5.5555555555555552E-2</v>
      </c>
      <c r="IA11">
        <v>0.32773109243697479</v>
      </c>
      <c r="IB11">
        <v>1</v>
      </c>
      <c r="IC11">
        <v>78</v>
      </c>
      <c r="ID11">
        <v>0.66666666666666663</v>
      </c>
      <c r="IE11">
        <v>0.32773109243697479</v>
      </c>
      <c r="IF11">
        <v>12</v>
      </c>
      <c r="IG11">
        <v>78</v>
      </c>
      <c r="IH11">
        <v>0</v>
      </c>
      <c r="II11">
        <v>7.9831932773109238E-2</v>
      </c>
      <c r="IJ11">
        <v>0</v>
      </c>
      <c r="IK11">
        <v>19</v>
      </c>
      <c r="IL11">
        <v>5.5555555555555552E-2</v>
      </c>
      <c r="IM11">
        <v>2.5210084033613446E-2</v>
      </c>
      <c r="IN11">
        <v>1</v>
      </c>
      <c r="IO11">
        <v>6</v>
      </c>
      <c r="IP11">
        <v>0.22222222222222221</v>
      </c>
      <c r="IQ11">
        <v>0.23949579831932774</v>
      </c>
      <c r="IR11">
        <v>4</v>
      </c>
      <c r="IS11">
        <v>57</v>
      </c>
      <c r="IT11">
        <v>87.411764705882348</v>
      </c>
      <c r="IU11">
        <v>77.970059880239518</v>
      </c>
      <c r="IV11">
        <v>5.8823529411764705E-2</v>
      </c>
      <c r="IW11">
        <v>0.3652694610778443</v>
      </c>
      <c r="IX11">
        <v>1</v>
      </c>
      <c r="IY11">
        <v>61</v>
      </c>
      <c r="IZ11">
        <v>0.6470588235294118</v>
      </c>
      <c r="JA11">
        <v>0.33532934131736525</v>
      </c>
      <c r="JB11">
        <v>11</v>
      </c>
      <c r="JC11">
        <v>56</v>
      </c>
      <c r="JD11">
        <v>0</v>
      </c>
      <c r="JE11">
        <v>4.790419161676647E-2</v>
      </c>
      <c r="JF11">
        <v>0</v>
      </c>
      <c r="JG11">
        <v>8</v>
      </c>
      <c r="JH11">
        <v>5.8823529411764705E-2</v>
      </c>
      <c r="JI11">
        <v>2.9940119760479042E-2</v>
      </c>
      <c r="JJ11">
        <v>1</v>
      </c>
      <c r="JK11">
        <v>5</v>
      </c>
      <c r="JL11">
        <v>0.23529411764705882</v>
      </c>
      <c r="JM11">
        <v>0.22155688622754491</v>
      </c>
      <c r="JN11">
        <v>4</v>
      </c>
      <c r="JO11">
        <v>37</v>
      </c>
      <c r="JP11">
        <v>0</v>
      </c>
      <c r="JQ11">
        <v>2.2727272727272728E-2</v>
      </c>
      <c r="JR11">
        <v>0</v>
      </c>
      <c r="JS11">
        <v>1</v>
      </c>
      <c r="JT11">
        <v>0.66666666666666663</v>
      </c>
      <c r="JU11">
        <v>0.75</v>
      </c>
      <c r="JV11">
        <v>4</v>
      </c>
      <c r="JW11">
        <v>33</v>
      </c>
      <c r="JX11">
        <v>0</v>
      </c>
      <c r="JY11">
        <v>4.5454545454545456E-2</v>
      </c>
      <c r="JZ11">
        <v>0</v>
      </c>
      <c r="KA11">
        <v>2</v>
      </c>
      <c r="KB11">
        <v>0</v>
      </c>
      <c r="KC11">
        <v>0</v>
      </c>
      <c r="KD11">
        <v>0</v>
      </c>
      <c r="KE11">
        <v>0</v>
      </c>
      <c r="KF11">
        <v>0.33333333333333337</v>
      </c>
      <c r="KG11">
        <v>0.18181818181818188</v>
      </c>
      <c r="KH11">
        <v>2</v>
      </c>
      <c r="KI11">
        <v>8</v>
      </c>
      <c r="KJ11">
        <v>0.16666666666666666</v>
      </c>
      <c r="KK11">
        <v>4.5454545454545456E-2</v>
      </c>
      <c r="KL11">
        <v>1</v>
      </c>
      <c r="KM11">
        <v>2</v>
      </c>
      <c r="KN11">
        <v>0</v>
      </c>
      <c r="KO11">
        <v>0.13636363636363635</v>
      </c>
      <c r="KP11">
        <v>0</v>
      </c>
      <c r="KQ11">
        <v>6</v>
      </c>
      <c r="KR11">
        <v>0.16666666666666666</v>
      </c>
      <c r="KS11">
        <v>9.0909090909090912E-2</v>
      </c>
      <c r="KT11">
        <v>1</v>
      </c>
      <c r="KU11">
        <v>4</v>
      </c>
      <c r="KV11">
        <v>0</v>
      </c>
      <c r="KW11">
        <v>9.0909090909090912E-2</v>
      </c>
      <c r="KX11">
        <v>0</v>
      </c>
      <c r="KY11">
        <v>4</v>
      </c>
      <c r="KZ11">
        <v>0.66666666666666674</v>
      </c>
      <c r="LA11">
        <v>0.63636363636363635</v>
      </c>
      <c r="LB11">
        <v>4</v>
      </c>
      <c r="LC11">
        <v>28</v>
      </c>
      <c r="LD11">
        <v>0.62195121951219512</v>
      </c>
      <c r="LE11">
        <v>0.56097560975609762</v>
      </c>
      <c r="LF11">
        <v>1.2195121951219513E-2</v>
      </c>
      <c r="LG11">
        <v>4.8780487804877981E-2</v>
      </c>
      <c r="LH11">
        <v>0.53881987577639756</v>
      </c>
      <c r="LI11">
        <v>0.44720496894409939</v>
      </c>
      <c r="LJ11">
        <v>2.0186335403726708E-2</v>
      </c>
      <c r="LK11">
        <v>7.1428571428571452E-2</v>
      </c>
    </row>
    <row r="12" spans="1:323" x14ac:dyDescent="0.25">
      <c r="A12" t="s">
        <v>12</v>
      </c>
      <c r="B12" t="s">
        <v>96</v>
      </c>
      <c r="C12" t="s">
        <v>162</v>
      </c>
      <c r="D12">
        <v>9.4043887147335428E-3</v>
      </c>
      <c r="E12">
        <v>6.5830721003134793E-2</v>
      </c>
      <c r="F12">
        <v>0.19435736677115986</v>
      </c>
      <c r="G12">
        <v>0.47335423197492166</v>
      </c>
      <c r="H12">
        <v>0.25705329153605017</v>
      </c>
      <c r="I12">
        <v>1.1579818031430935E-2</v>
      </c>
      <c r="J12">
        <v>6.1621174524400329E-2</v>
      </c>
      <c r="K12">
        <v>0.21464019851116625</v>
      </c>
      <c r="L12">
        <v>0.44582299421009097</v>
      </c>
      <c r="M12">
        <v>0.26633581472291151</v>
      </c>
      <c r="N12">
        <v>0.75862068965517238</v>
      </c>
      <c r="O12">
        <v>0.24137931034482762</v>
      </c>
      <c r="P12">
        <v>0.70471464019851116</v>
      </c>
      <c r="Q12">
        <v>0.29528535980148884</v>
      </c>
      <c r="R12">
        <v>319</v>
      </c>
      <c r="S12">
        <v>66.614420062695928</v>
      </c>
      <c r="T12">
        <v>46</v>
      </c>
      <c r="U12">
        <v>9.2946708463949843</v>
      </c>
      <c r="V12">
        <v>3.8934169278996866</v>
      </c>
      <c r="W12">
        <v>29.369905956112852</v>
      </c>
      <c r="X12">
        <v>2418</v>
      </c>
      <c r="Y12">
        <v>66.236559139784944</v>
      </c>
      <c r="Z12">
        <v>308</v>
      </c>
      <c r="AA12">
        <v>10.480562448304385</v>
      </c>
      <c r="AB12">
        <v>3.9582299421009099</v>
      </c>
      <c r="AC12">
        <v>32.586848635235732</v>
      </c>
      <c r="AD12">
        <v>0.57283807312826462</v>
      </c>
      <c r="AE12">
        <v>0.57145574435708846</v>
      </c>
      <c r="AF12">
        <v>987</v>
      </c>
      <c r="AG12">
        <v>9013</v>
      </c>
      <c r="AH12">
        <v>0.39930354033662219</v>
      </c>
      <c r="AI12">
        <v>0.40077352269845296</v>
      </c>
      <c r="AJ12">
        <v>688</v>
      </c>
      <c r="AK12">
        <v>6321</v>
      </c>
      <c r="AL12">
        <v>1.9733023795705164E-2</v>
      </c>
      <c r="AM12">
        <v>1.8133400963733198E-2</v>
      </c>
      <c r="AN12">
        <v>34</v>
      </c>
      <c r="AO12">
        <v>286</v>
      </c>
      <c r="AP12">
        <v>1.1607661056297156E-3</v>
      </c>
      <c r="AQ12">
        <v>7.101191985797616E-3</v>
      </c>
      <c r="AR12">
        <v>2</v>
      </c>
      <c r="AS12">
        <v>112</v>
      </c>
      <c r="AT12">
        <v>6.9645966337782937E-3</v>
      </c>
      <c r="AU12">
        <v>2.4093329951813342E-3</v>
      </c>
      <c r="AV12">
        <v>12</v>
      </c>
      <c r="AW12">
        <v>38</v>
      </c>
      <c r="AX12">
        <v>0</v>
      </c>
      <c r="AY12">
        <v>6.3403499873192998E-5</v>
      </c>
      <c r="AZ12">
        <v>0</v>
      </c>
      <c r="BA12">
        <v>1</v>
      </c>
      <c r="BB12">
        <v>0.21943573667711599</v>
      </c>
      <c r="BC12">
        <v>5.6583072100313476</v>
      </c>
      <c r="BD12">
        <v>6.8965517241379309E-2</v>
      </c>
      <c r="BE12">
        <v>1.347962382445141</v>
      </c>
      <c r="BF12">
        <v>0</v>
      </c>
      <c r="BG12">
        <v>0</v>
      </c>
      <c r="BH12">
        <v>0.33457402812241521</v>
      </c>
      <c r="BI12">
        <v>8.0897435897435894</v>
      </c>
      <c r="BJ12">
        <v>6.3275434243176179E-2</v>
      </c>
      <c r="BK12">
        <v>1.6683209263854426</v>
      </c>
      <c r="BL12">
        <v>6.2034739454094297E-3</v>
      </c>
      <c r="BM12">
        <v>0.13399503722084366</v>
      </c>
      <c r="BN12">
        <v>0.19082125603864733</v>
      </c>
      <c r="BO12">
        <v>0.20071047957371227</v>
      </c>
      <c r="BP12">
        <v>237</v>
      </c>
      <c r="BQ12">
        <v>1921</v>
      </c>
      <c r="BR12">
        <v>0.2391304347826087</v>
      </c>
      <c r="BS12">
        <v>0.19276982551457528</v>
      </c>
      <c r="BT12">
        <v>297</v>
      </c>
      <c r="BU12">
        <v>1845</v>
      </c>
      <c r="BV12">
        <v>5.3945249597423507E-2</v>
      </c>
      <c r="BW12">
        <v>6.0913175216800751E-2</v>
      </c>
      <c r="BX12">
        <v>67</v>
      </c>
      <c r="BY12">
        <v>583</v>
      </c>
      <c r="BZ12">
        <v>4.6698872785829307E-2</v>
      </c>
      <c r="CA12">
        <v>5.9136976282520112E-2</v>
      </c>
      <c r="CB12">
        <v>58</v>
      </c>
      <c r="CC12">
        <v>566</v>
      </c>
      <c r="CD12">
        <v>4.4283413848631242E-2</v>
      </c>
      <c r="CE12">
        <v>5.1718733674642151E-2</v>
      </c>
      <c r="CF12">
        <v>55</v>
      </c>
      <c r="CG12">
        <v>495</v>
      </c>
      <c r="CH12">
        <v>3.864734299516908E-2</v>
      </c>
      <c r="CI12">
        <v>3.8658447393166859E-2</v>
      </c>
      <c r="CJ12">
        <v>48</v>
      </c>
      <c r="CK12">
        <v>370</v>
      </c>
      <c r="CL12">
        <v>0</v>
      </c>
      <c r="CM12">
        <v>0</v>
      </c>
      <c r="CN12">
        <v>0</v>
      </c>
      <c r="CO12">
        <v>0</v>
      </c>
      <c r="CP12">
        <v>2.0933977455716585E-2</v>
      </c>
      <c r="CQ12">
        <v>3.0404346463274477E-2</v>
      </c>
      <c r="CR12">
        <v>26</v>
      </c>
      <c r="CS12">
        <v>291</v>
      </c>
      <c r="CT12">
        <v>5.9581320450885669E-2</v>
      </c>
      <c r="CU12">
        <v>5.3912861769929994E-2</v>
      </c>
      <c r="CV12">
        <v>74</v>
      </c>
      <c r="CW12">
        <v>516</v>
      </c>
      <c r="CX12">
        <v>0.28502415458937197</v>
      </c>
      <c r="CY12">
        <v>0.28534113467767214</v>
      </c>
      <c r="CZ12">
        <v>354</v>
      </c>
      <c r="DA12">
        <v>2731</v>
      </c>
      <c r="DB12">
        <v>2.0933977455716679E-2</v>
      </c>
      <c r="DC12">
        <v>2.6434019433705824E-2</v>
      </c>
      <c r="DD12">
        <v>26.000000000000117</v>
      </c>
      <c r="DE12">
        <v>210.74261603375624</v>
      </c>
      <c r="DF12">
        <v>5.6426332288401257E-2</v>
      </c>
      <c r="DG12">
        <v>9.553349875930521E-2</v>
      </c>
      <c r="DH12">
        <v>18</v>
      </c>
      <c r="DI12">
        <v>231</v>
      </c>
      <c r="DJ12">
        <v>3.1347962382445138E-2</v>
      </c>
      <c r="DK12">
        <v>4.5078577336641855E-2</v>
      </c>
      <c r="DL12">
        <v>10</v>
      </c>
      <c r="DM12">
        <v>109</v>
      </c>
      <c r="DN12">
        <v>0.13479623824451412</v>
      </c>
      <c r="DO12">
        <v>0.12324234904880066</v>
      </c>
      <c r="DP12">
        <v>43</v>
      </c>
      <c r="DQ12">
        <v>298</v>
      </c>
      <c r="DR12">
        <v>2.8213166144200628E-2</v>
      </c>
      <c r="DS12">
        <v>3.2258064516129031E-2</v>
      </c>
      <c r="DT12">
        <v>9</v>
      </c>
      <c r="DU12">
        <v>78</v>
      </c>
      <c r="DV12">
        <v>6.2695924764890276E-2</v>
      </c>
      <c r="DW12">
        <v>6.7411083540115796E-2</v>
      </c>
      <c r="DX12">
        <v>20</v>
      </c>
      <c r="DY12">
        <v>163</v>
      </c>
      <c r="DZ12">
        <v>6.2695924764890276E-2</v>
      </c>
      <c r="EA12">
        <v>9.3465674110835395E-2</v>
      </c>
      <c r="EB12">
        <v>20</v>
      </c>
      <c r="EC12">
        <v>226</v>
      </c>
      <c r="ED12">
        <v>0.54858934169278994</v>
      </c>
      <c r="EE12">
        <v>0.47435897435897434</v>
      </c>
      <c r="EF12">
        <v>175</v>
      </c>
      <c r="EG12">
        <v>1147</v>
      </c>
      <c r="EH12">
        <v>7.5235109717868398E-2</v>
      </c>
      <c r="EI12">
        <v>6.8651778329197666E-2</v>
      </c>
      <c r="EJ12">
        <v>24.000000000000018</v>
      </c>
      <c r="EK12">
        <v>165.99999999999994</v>
      </c>
      <c r="EL12">
        <v>0</v>
      </c>
      <c r="EM12">
        <v>0.10297766749379653</v>
      </c>
      <c r="EN12">
        <v>0</v>
      </c>
      <c r="EO12">
        <v>249</v>
      </c>
      <c r="EP12">
        <v>0.57366771159874608</v>
      </c>
      <c r="EQ12">
        <v>7.6923076923076927E-2</v>
      </c>
      <c r="ER12">
        <v>183</v>
      </c>
      <c r="ES12">
        <v>186</v>
      </c>
      <c r="ET12">
        <v>0.23197492163009403</v>
      </c>
      <c r="EU12">
        <v>0.4813895781637717</v>
      </c>
      <c r="EV12">
        <v>74</v>
      </c>
      <c r="EW12">
        <v>1164</v>
      </c>
      <c r="EX12">
        <v>0</v>
      </c>
      <c r="EY12">
        <v>4.8800661703887513E-2</v>
      </c>
      <c r="EZ12">
        <v>0</v>
      </c>
      <c r="FA12">
        <v>118</v>
      </c>
      <c r="FB12">
        <v>3.134796238244514E-3</v>
      </c>
      <c r="FC12">
        <v>8.0231596360628613E-2</v>
      </c>
      <c r="FD12">
        <v>1</v>
      </c>
      <c r="FE12">
        <v>194</v>
      </c>
      <c r="FF12">
        <v>0</v>
      </c>
      <c r="FG12">
        <v>0.16046319272125723</v>
      </c>
      <c r="FH12">
        <v>0</v>
      </c>
      <c r="FI12">
        <v>388</v>
      </c>
      <c r="FJ12">
        <v>0.19122257053291536</v>
      </c>
      <c r="FK12">
        <v>4.9214226633581472E-2</v>
      </c>
      <c r="FL12">
        <v>61</v>
      </c>
      <c r="FM12">
        <v>119</v>
      </c>
      <c r="FN12">
        <v>55</v>
      </c>
      <c r="FO12">
        <v>495</v>
      </c>
      <c r="FP12">
        <v>55</v>
      </c>
      <c r="FQ12">
        <v>495</v>
      </c>
      <c r="FR12">
        <v>0</v>
      </c>
      <c r="FS12">
        <v>8.4848484848484854E-2</v>
      </c>
      <c r="FT12">
        <v>0</v>
      </c>
      <c r="FU12">
        <v>42</v>
      </c>
      <c r="FV12">
        <v>0</v>
      </c>
      <c r="FW12">
        <v>0</v>
      </c>
      <c r="FX12">
        <v>0</v>
      </c>
      <c r="FY12">
        <v>0</v>
      </c>
      <c r="FZ12">
        <v>0.54545454545454541</v>
      </c>
      <c r="GA12">
        <v>0.44242424242424244</v>
      </c>
      <c r="GB12">
        <v>30</v>
      </c>
      <c r="GC12">
        <v>219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5.8585858585858588E-2</v>
      </c>
      <c r="GJ12">
        <v>0</v>
      </c>
      <c r="GK12">
        <v>29</v>
      </c>
      <c r="GL12">
        <v>0</v>
      </c>
      <c r="GM12">
        <v>0.32323232323232326</v>
      </c>
      <c r="GN12">
        <v>0</v>
      </c>
      <c r="GO12">
        <v>160</v>
      </c>
      <c r="GP12">
        <v>0.45454545454545453</v>
      </c>
      <c r="GQ12">
        <v>9.0909090909090912E-2</v>
      </c>
      <c r="GR12">
        <v>25</v>
      </c>
      <c r="GS12">
        <v>45</v>
      </c>
      <c r="GT12">
        <v>4.0752351097178681E-2</v>
      </c>
      <c r="GU12">
        <v>4.425144747725393E-2</v>
      </c>
      <c r="GV12">
        <v>13</v>
      </c>
      <c r="GW12">
        <v>107</v>
      </c>
      <c r="GX12">
        <v>5.6426332288401257E-2</v>
      </c>
      <c r="GY12">
        <v>7.3614557485525228E-2</v>
      </c>
      <c r="GZ12">
        <v>18</v>
      </c>
      <c r="HA12">
        <v>178</v>
      </c>
      <c r="HB12">
        <v>0</v>
      </c>
      <c r="HC12">
        <v>8.271298593879239E-4</v>
      </c>
      <c r="HD12">
        <v>0</v>
      </c>
      <c r="HE12">
        <v>2</v>
      </c>
      <c r="HF12">
        <v>0</v>
      </c>
      <c r="HG12">
        <v>4.1356492969396195E-4</v>
      </c>
      <c r="HH12">
        <v>0</v>
      </c>
      <c r="HI12">
        <v>1</v>
      </c>
      <c r="HJ12">
        <v>0</v>
      </c>
      <c r="HK12">
        <v>4.1356492969396195E-4</v>
      </c>
      <c r="HL12">
        <v>0</v>
      </c>
      <c r="HM12">
        <v>1</v>
      </c>
      <c r="HN12">
        <v>0</v>
      </c>
      <c r="HO12">
        <v>2.0678246484698098E-3</v>
      </c>
      <c r="HP12">
        <v>0</v>
      </c>
      <c r="HQ12">
        <v>5</v>
      </c>
      <c r="HR12">
        <v>0.81191222570532917</v>
      </c>
      <c r="HS12">
        <v>0.80024813895781632</v>
      </c>
      <c r="HT12">
        <v>259</v>
      </c>
      <c r="HU12">
        <v>1935</v>
      </c>
      <c r="HV12">
        <v>9.0909090909090912E-2</v>
      </c>
      <c r="HW12">
        <v>8.0231596360628613E-2</v>
      </c>
      <c r="HX12">
        <v>29</v>
      </c>
      <c r="HY12">
        <v>194</v>
      </c>
      <c r="HZ12">
        <v>0.30555555555555558</v>
      </c>
      <c r="IA12">
        <v>0.44483985765124556</v>
      </c>
      <c r="IB12">
        <v>22</v>
      </c>
      <c r="IC12">
        <v>375</v>
      </c>
      <c r="ID12">
        <v>0.33333333333333331</v>
      </c>
      <c r="IE12">
        <v>0.21233689205219455</v>
      </c>
      <c r="IF12">
        <v>24</v>
      </c>
      <c r="IG12">
        <v>179</v>
      </c>
      <c r="IH12">
        <v>4.1666666666666664E-2</v>
      </c>
      <c r="II12">
        <v>6.1684460260972719E-2</v>
      </c>
      <c r="IJ12">
        <v>3</v>
      </c>
      <c r="IK12">
        <v>52</v>
      </c>
      <c r="IL12">
        <v>2.7777777777777776E-2</v>
      </c>
      <c r="IM12">
        <v>4.0332147093712932E-2</v>
      </c>
      <c r="IN12">
        <v>2</v>
      </c>
      <c r="IO12">
        <v>34</v>
      </c>
      <c r="IP12">
        <v>0.29166666666666669</v>
      </c>
      <c r="IQ12">
        <v>0.2431791221826809</v>
      </c>
      <c r="IR12">
        <v>21</v>
      </c>
      <c r="IS12">
        <v>205</v>
      </c>
      <c r="IT12">
        <v>88.272727272727266</v>
      </c>
      <c r="IU12">
        <v>74.587521663778162</v>
      </c>
      <c r="IV12">
        <v>0.34545454545454546</v>
      </c>
      <c r="IW12">
        <v>0.515625</v>
      </c>
      <c r="IX12">
        <v>19</v>
      </c>
      <c r="IY12">
        <v>297</v>
      </c>
      <c r="IZ12">
        <v>0.32727272727272727</v>
      </c>
      <c r="JA12">
        <v>0.19444444444444445</v>
      </c>
      <c r="JB12">
        <v>18</v>
      </c>
      <c r="JC12">
        <v>112</v>
      </c>
      <c r="JD12">
        <v>5.4545454545454543E-2</v>
      </c>
      <c r="JE12">
        <v>5.9027777777777776E-2</v>
      </c>
      <c r="JF12">
        <v>3</v>
      </c>
      <c r="JG12">
        <v>34</v>
      </c>
      <c r="JH12">
        <v>3.6363636363636362E-2</v>
      </c>
      <c r="JI12">
        <v>3.125E-2</v>
      </c>
      <c r="JJ12">
        <v>2</v>
      </c>
      <c r="JK12">
        <v>18</v>
      </c>
      <c r="JL12">
        <v>0.23636363636363636</v>
      </c>
      <c r="JM12">
        <v>0.2013888888888889</v>
      </c>
      <c r="JN12">
        <v>13</v>
      </c>
      <c r="JO12">
        <v>116</v>
      </c>
      <c r="JP12">
        <v>0.13636363636363635</v>
      </c>
      <c r="JQ12">
        <v>7.1895424836601302E-2</v>
      </c>
      <c r="JR12">
        <v>3</v>
      </c>
      <c r="JS12">
        <v>11</v>
      </c>
      <c r="JT12">
        <v>0.54545454545454541</v>
      </c>
      <c r="JU12">
        <v>0.69281045751633985</v>
      </c>
      <c r="JV12">
        <v>12</v>
      </c>
      <c r="JW12">
        <v>106</v>
      </c>
      <c r="JX12">
        <v>0</v>
      </c>
      <c r="JY12">
        <v>7.1895424836601302E-2</v>
      </c>
      <c r="JZ12">
        <v>0</v>
      </c>
      <c r="KA12">
        <v>11</v>
      </c>
      <c r="KB12">
        <v>0.22727272727272727</v>
      </c>
      <c r="KC12">
        <v>3.9215686274509803E-2</v>
      </c>
      <c r="KD12">
        <v>5</v>
      </c>
      <c r="KE12">
        <v>6</v>
      </c>
      <c r="KF12">
        <v>9.0909090909090939E-2</v>
      </c>
      <c r="KG12">
        <v>0.12418300653594783</v>
      </c>
      <c r="KH12">
        <v>2</v>
      </c>
      <c r="KI12">
        <v>19</v>
      </c>
      <c r="KJ12">
        <v>0.13636363636363635</v>
      </c>
      <c r="KK12">
        <v>0.15584415584415584</v>
      </c>
      <c r="KL12">
        <v>3</v>
      </c>
      <c r="KM12">
        <v>24</v>
      </c>
      <c r="KN12">
        <v>0.27272727272727271</v>
      </c>
      <c r="KO12">
        <v>0.14935064935064934</v>
      </c>
      <c r="KP12">
        <v>6</v>
      </c>
      <c r="KQ12">
        <v>23</v>
      </c>
      <c r="KR12">
        <v>4.5454545454545456E-2</v>
      </c>
      <c r="KS12">
        <v>0.14285714285714285</v>
      </c>
      <c r="KT12">
        <v>1</v>
      </c>
      <c r="KU12">
        <v>22</v>
      </c>
      <c r="KV12">
        <v>0</v>
      </c>
      <c r="KW12">
        <v>8.4415584415584416E-2</v>
      </c>
      <c r="KX12">
        <v>0</v>
      </c>
      <c r="KY12">
        <v>13</v>
      </c>
      <c r="KZ12">
        <v>0.54545454545454541</v>
      </c>
      <c r="LA12">
        <v>0.46753246753246758</v>
      </c>
      <c r="LB12">
        <v>12</v>
      </c>
      <c r="LC12">
        <v>72</v>
      </c>
      <c r="LD12">
        <v>0.4890282131661442</v>
      </c>
      <c r="LE12">
        <v>0.42946708463949845</v>
      </c>
      <c r="LF12">
        <v>6.269592476489028E-3</v>
      </c>
      <c r="LG12">
        <v>5.329153605015674E-2</v>
      </c>
      <c r="LH12">
        <v>0.44334160463192723</v>
      </c>
      <c r="LI12">
        <v>0.38792390405293631</v>
      </c>
      <c r="LJ12">
        <v>1.282051282051282E-2</v>
      </c>
      <c r="LK12">
        <v>4.2597187758478094E-2</v>
      </c>
    </row>
    <row r="13" spans="1:323" x14ac:dyDescent="0.25">
      <c r="A13" t="s">
        <v>13</v>
      </c>
      <c r="B13" t="s">
        <v>55</v>
      </c>
      <c r="C13" t="s">
        <v>163</v>
      </c>
      <c r="D13">
        <v>1.2572533849129593E-2</v>
      </c>
      <c r="E13">
        <v>6.5764023210831718E-2</v>
      </c>
      <c r="F13">
        <v>0.22243713733075435</v>
      </c>
      <c r="G13">
        <v>0.46131528046421666</v>
      </c>
      <c r="H13">
        <v>0.23791102514506771</v>
      </c>
      <c r="I13">
        <v>1.1579818031430935E-2</v>
      </c>
      <c r="J13">
        <v>6.1621174524400329E-2</v>
      </c>
      <c r="K13">
        <v>0.21464019851116625</v>
      </c>
      <c r="L13">
        <v>0.44582299421009097</v>
      </c>
      <c r="M13">
        <v>0.26633581472291151</v>
      </c>
      <c r="N13">
        <v>0.61538461538461542</v>
      </c>
      <c r="O13">
        <v>0.38461538461538458</v>
      </c>
      <c r="P13">
        <v>0.6428571428571429</v>
      </c>
      <c r="Q13">
        <v>0.3571428571428571</v>
      </c>
      <c r="R13">
        <v>13</v>
      </c>
      <c r="S13">
        <v>33.230769230769234</v>
      </c>
      <c r="T13">
        <v>2</v>
      </c>
      <c r="U13">
        <v>8.2307692307692299</v>
      </c>
      <c r="V13">
        <v>3.3076923076923075</v>
      </c>
      <c r="W13">
        <v>36.230769230769234</v>
      </c>
      <c r="X13">
        <v>28</v>
      </c>
      <c r="Y13">
        <v>32.285714285714285</v>
      </c>
      <c r="Z13">
        <v>2</v>
      </c>
      <c r="AA13">
        <v>8.6428571428571423</v>
      </c>
      <c r="AB13">
        <v>3.8571428571428572</v>
      </c>
      <c r="AC13">
        <v>30.25</v>
      </c>
      <c r="AD13">
        <v>0.42857142857142855</v>
      </c>
      <c r="AE13">
        <v>0.41269841269841268</v>
      </c>
      <c r="AF13">
        <v>24</v>
      </c>
      <c r="AG13">
        <v>52</v>
      </c>
      <c r="AH13">
        <v>0.5178571428571429</v>
      </c>
      <c r="AI13">
        <v>0.56349206349206349</v>
      </c>
      <c r="AJ13">
        <v>29</v>
      </c>
      <c r="AK13">
        <v>71</v>
      </c>
      <c r="AL13">
        <v>5.3571428571428568E-2</v>
      </c>
      <c r="AM13">
        <v>2.3809523809523808E-2</v>
      </c>
      <c r="AN13">
        <v>3</v>
      </c>
      <c r="AO13">
        <v>3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0.38461538461538464</v>
      </c>
      <c r="BC13">
        <v>9.384615384615385</v>
      </c>
      <c r="BD13">
        <v>0</v>
      </c>
      <c r="BE13">
        <v>0</v>
      </c>
      <c r="BF13">
        <v>0</v>
      </c>
      <c r="BG13" s="116" t="s">
        <v>187</v>
      </c>
      <c r="BH13">
        <v>0.35714285714285715</v>
      </c>
      <c r="BI13">
        <v>7.75</v>
      </c>
      <c r="BJ13">
        <v>0</v>
      </c>
      <c r="BK13">
        <v>0</v>
      </c>
      <c r="BL13">
        <v>0</v>
      </c>
      <c r="BM13">
        <v>0</v>
      </c>
      <c r="BN13">
        <v>0.2558139534883721</v>
      </c>
      <c r="BO13">
        <v>0.19444444444444445</v>
      </c>
      <c r="BP13">
        <v>11</v>
      </c>
      <c r="BQ13">
        <v>21</v>
      </c>
      <c r="BR13">
        <v>0.23255813953488372</v>
      </c>
      <c r="BS13">
        <v>0.20370370370370369</v>
      </c>
      <c r="BT13">
        <v>10</v>
      </c>
      <c r="BU13">
        <v>22</v>
      </c>
      <c r="BV13">
        <v>2.3255813953488372E-2</v>
      </c>
      <c r="BW13">
        <v>3.7037037037037035E-2</v>
      </c>
      <c r="BX13">
        <v>1</v>
      </c>
      <c r="BY13">
        <v>4</v>
      </c>
      <c r="BZ13">
        <v>4.6511627906976744E-2</v>
      </c>
      <c r="CA13">
        <v>1.8518518518518517E-2</v>
      </c>
      <c r="CB13">
        <v>2</v>
      </c>
      <c r="CC13">
        <v>2</v>
      </c>
      <c r="CD13">
        <v>9.3023255813953487E-2</v>
      </c>
      <c r="CE13">
        <v>0.12037037037037036</v>
      </c>
      <c r="CF13">
        <v>4</v>
      </c>
      <c r="CG13">
        <v>13</v>
      </c>
      <c r="CH13">
        <v>9.3023255813953487E-2</v>
      </c>
      <c r="CI13">
        <v>6.4814814814814811E-2</v>
      </c>
      <c r="CJ13">
        <v>4</v>
      </c>
      <c r="CK13">
        <v>7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9.2592592592592587E-3</v>
      </c>
      <c r="CR13">
        <v>0</v>
      </c>
      <c r="CS13">
        <v>1</v>
      </c>
      <c r="CT13">
        <v>4.6511627906976744E-2</v>
      </c>
      <c r="CU13">
        <v>5.5555555555555552E-2</v>
      </c>
      <c r="CV13">
        <v>2</v>
      </c>
      <c r="CW13">
        <v>6</v>
      </c>
      <c r="CX13">
        <v>0.20930232558139536</v>
      </c>
      <c r="CY13">
        <v>0.27777777777777779</v>
      </c>
      <c r="CZ13">
        <v>9</v>
      </c>
      <c r="DA13">
        <v>30</v>
      </c>
      <c r="DB13">
        <v>0</v>
      </c>
      <c r="DC13">
        <v>1.851851851851849E-2</v>
      </c>
      <c r="DD13">
        <v>0</v>
      </c>
      <c r="DE13">
        <v>0</v>
      </c>
      <c r="DF13">
        <v>7.6923076923076927E-2</v>
      </c>
      <c r="DG13">
        <v>0.14285714285714285</v>
      </c>
      <c r="DH13">
        <v>1</v>
      </c>
      <c r="DI13">
        <v>4</v>
      </c>
      <c r="DJ13">
        <v>0</v>
      </c>
      <c r="DK13">
        <v>0</v>
      </c>
      <c r="DL13">
        <v>0</v>
      </c>
      <c r="DM13">
        <v>0</v>
      </c>
      <c r="DN13">
        <v>0.23076923076923078</v>
      </c>
      <c r="DO13">
        <v>0.17857142857142858</v>
      </c>
      <c r="DP13">
        <v>3</v>
      </c>
      <c r="DQ13">
        <v>5</v>
      </c>
      <c r="DR13">
        <v>0</v>
      </c>
      <c r="DS13">
        <v>0</v>
      </c>
      <c r="DT13">
        <v>0</v>
      </c>
      <c r="DU13">
        <v>0</v>
      </c>
      <c r="DV13">
        <v>0.15384615384615385</v>
      </c>
      <c r="DW13">
        <v>0.10714285714285714</v>
      </c>
      <c r="DX13">
        <v>2</v>
      </c>
      <c r="DY13">
        <v>3</v>
      </c>
      <c r="DZ13">
        <v>0.23076923076923078</v>
      </c>
      <c r="EA13">
        <v>0.14285714285714285</v>
      </c>
      <c r="EB13">
        <v>3</v>
      </c>
      <c r="EC13">
        <v>4</v>
      </c>
      <c r="ED13">
        <v>0.30769230769230771</v>
      </c>
      <c r="EE13">
        <v>0.35714285714285715</v>
      </c>
      <c r="EF13">
        <v>4</v>
      </c>
      <c r="EG13">
        <v>10</v>
      </c>
      <c r="EH13">
        <v>0</v>
      </c>
      <c r="EI13">
        <v>7.1428571428571397E-2</v>
      </c>
      <c r="EJ13">
        <v>0</v>
      </c>
      <c r="EK13">
        <v>1.9999999999999991</v>
      </c>
      <c r="EL13">
        <v>0</v>
      </c>
      <c r="EM13">
        <v>0.17857142857142858</v>
      </c>
      <c r="EN13">
        <v>0</v>
      </c>
      <c r="EO13">
        <v>5</v>
      </c>
      <c r="EP13">
        <v>0</v>
      </c>
      <c r="EQ13">
        <v>7.1428571428571425E-2</v>
      </c>
      <c r="ER13">
        <v>0</v>
      </c>
      <c r="ES13">
        <v>2</v>
      </c>
      <c r="ET13">
        <v>1</v>
      </c>
      <c r="EU13">
        <v>0.5714285714285714</v>
      </c>
      <c r="EV13">
        <v>13</v>
      </c>
      <c r="EW13">
        <v>16</v>
      </c>
      <c r="EX13">
        <v>0</v>
      </c>
      <c r="EY13">
        <v>7.1428571428571425E-2</v>
      </c>
      <c r="EZ13">
        <v>0</v>
      </c>
      <c r="FA13">
        <v>2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0.10714285714285714</v>
      </c>
      <c r="FH13">
        <v>0</v>
      </c>
      <c r="FI13">
        <v>3</v>
      </c>
      <c r="FJ13">
        <v>0</v>
      </c>
      <c r="FK13">
        <v>0</v>
      </c>
      <c r="FL13">
        <v>0</v>
      </c>
      <c r="FM13">
        <v>0</v>
      </c>
      <c r="FN13">
        <v>4</v>
      </c>
      <c r="FO13">
        <v>13</v>
      </c>
      <c r="FP13">
        <v>4</v>
      </c>
      <c r="FQ13">
        <v>13</v>
      </c>
      <c r="FR13">
        <v>0</v>
      </c>
      <c r="FS13">
        <v>0.23076923076923078</v>
      </c>
      <c r="FT13">
        <v>0</v>
      </c>
      <c r="FU13">
        <v>3</v>
      </c>
      <c r="FV13">
        <v>0</v>
      </c>
      <c r="FW13">
        <v>0</v>
      </c>
      <c r="FX13">
        <v>0</v>
      </c>
      <c r="FY13">
        <v>0</v>
      </c>
      <c r="FZ13">
        <v>1</v>
      </c>
      <c r="GA13">
        <v>0.30769230769230771</v>
      </c>
      <c r="GB13">
        <v>4</v>
      </c>
      <c r="GC13">
        <v>4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0.38461538461538464</v>
      </c>
      <c r="GN13">
        <v>0</v>
      </c>
      <c r="GO13">
        <v>5</v>
      </c>
      <c r="GP13">
        <v>0</v>
      </c>
      <c r="GQ13">
        <v>7.6923076923076927E-2</v>
      </c>
      <c r="GR13">
        <v>0</v>
      </c>
      <c r="GS13">
        <v>1</v>
      </c>
      <c r="GT13">
        <v>0</v>
      </c>
      <c r="GU13">
        <v>0</v>
      </c>
      <c r="GV13">
        <v>0</v>
      </c>
      <c r="GW13">
        <v>0</v>
      </c>
      <c r="GX13">
        <v>7.6923076923076927E-2</v>
      </c>
      <c r="GY13">
        <v>7.1428571428571425E-2</v>
      </c>
      <c r="GZ13">
        <v>1</v>
      </c>
      <c r="HA13">
        <v>2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0.84615384615384615</v>
      </c>
      <c r="HS13">
        <v>0.8928571428571429</v>
      </c>
      <c r="HT13">
        <v>11</v>
      </c>
      <c r="HU13">
        <v>25</v>
      </c>
      <c r="HV13">
        <v>7.6923076923076927E-2</v>
      </c>
      <c r="HW13">
        <v>3.5714285714285712E-2</v>
      </c>
      <c r="HX13">
        <v>1</v>
      </c>
      <c r="HY13">
        <v>1</v>
      </c>
      <c r="HZ13">
        <v>0.4</v>
      </c>
      <c r="IA13">
        <v>0.6</v>
      </c>
      <c r="IB13">
        <v>2</v>
      </c>
      <c r="IC13">
        <v>6</v>
      </c>
      <c r="ID13">
        <v>0.2</v>
      </c>
      <c r="IE13">
        <v>0.1</v>
      </c>
      <c r="IF13">
        <v>1</v>
      </c>
      <c r="IG13">
        <v>1</v>
      </c>
      <c r="IH13">
        <v>0.2</v>
      </c>
      <c r="II13">
        <v>0.1</v>
      </c>
      <c r="IJ13">
        <v>1</v>
      </c>
      <c r="IK13">
        <v>1</v>
      </c>
      <c r="IL13">
        <v>0</v>
      </c>
      <c r="IM13">
        <v>0</v>
      </c>
      <c r="IN13">
        <v>0</v>
      </c>
      <c r="IO13">
        <v>0</v>
      </c>
      <c r="IP13">
        <v>0.2</v>
      </c>
      <c r="IQ13">
        <v>0.2</v>
      </c>
      <c r="IR13">
        <v>1</v>
      </c>
      <c r="IS13">
        <v>2</v>
      </c>
      <c r="IT13">
        <v>120</v>
      </c>
      <c r="IU13">
        <v>69.75</v>
      </c>
      <c r="IV13">
        <v>0.25</v>
      </c>
      <c r="IW13">
        <v>0.625</v>
      </c>
      <c r="IX13">
        <v>1</v>
      </c>
      <c r="IY13">
        <v>5</v>
      </c>
      <c r="IZ13">
        <v>0.25</v>
      </c>
      <c r="JA13">
        <v>0.125</v>
      </c>
      <c r="JB13">
        <v>1</v>
      </c>
      <c r="JC13">
        <v>1</v>
      </c>
      <c r="JD13">
        <v>0.25</v>
      </c>
      <c r="JE13">
        <v>0.125</v>
      </c>
      <c r="JF13">
        <v>1</v>
      </c>
      <c r="JG13">
        <v>1</v>
      </c>
      <c r="JH13">
        <v>0</v>
      </c>
      <c r="JI13">
        <v>0</v>
      </c>
      <c r="JJ13">
        <v>0</v>
      </c>
      <c r="JK13">
        <v>0</v>
      </c>
      <c r="JL13">
        <v>0.25</v>
      </c>
      <c r="JM13">
        <v>0.125</v>
      </c>
      <c r="JN13">
        <v>1</v>
      </c>
      <c r="JO13">
        <v>1</v>
      </c>
      <c r="JP13" s="116" t="s">
        <v>187</v>
      </c>
      <c r="JQ13" s="116" t="s">
        <v>187</v>
      </c>
      <c r="JR13">
        <v>0</v>
      </c>
      <c r="JS13">
        <v>0</v>
      </c>
      <c r="JT13" s="116" t="s">
        <v>187</v>
      </c>
      <c r="JU13" s="116" t="s">
        <v>187</v>
      </c>
      <c r="JV13">
        <v>0</v>
      </c>
      <c r="JW13">
        <v>0</v>
      </c>
      <c r="JX13" s="116" t="s">
        <v>187</v>
      </c>
      <c r="JY13" s="116" t="s">
        <v>187</v>
      </c>
      <c r="JZ13">
        <v>0</v>
      </c>
      <c r="KA13">
        <v>0</v>
      </c>
      <c r="KB13" s="116" t="s">
        <v>187</v>
      </c>
      <c r="KC13" s="116" t="s">
        <v>187</v>
      </c>
      <c r="KD13">
        <v>0</v>
      </c>
      <c r="KE13">
        <v>0</v>
      </c>
      <c r="KF13" s="116" t="s">
        <v>187</v>
      </c>
      <c r="KG13" s="116" t="s">
        <v>187</v>
      </c>
      <c r="KH13">
        <v>0</v>
      </c>
      <c r="KI13">
        <v>0</v>
      </c>
      <c r="KJ13" s="116" t="s">
        <v>187</v>
      </c>
      <c r="KK13" s="116" t="s">
        <v>187</v>
      </c>
      <c r="KL13">
        <v>0</v>
      </c>
      <c r="KM13">
        <v>0</v>
      </c>
      <c r="KN13" s="116" t="s">
        <v>187</v>
      </c>
      <c r="KO13" s="116" t="s">
        <v>187</v>
      </c>
      <c r="KP13">
        <v>0</v>
      </c>
      <c r="KQ13">
        <v>0</v>
      </c>
      <c r="KR13" s="116" t="s">
        <v>187</v>
      </c>
      <c r="KS13" s="116" t="s">
        <v>187</v>
      </c>
      <c r="KT13">
        <v>0</v>
      </c>
      <c r="KU13">
        <v>0</v>
      </c>
      <c r="KV13" s="116" t="s">
        <v>187</v>
      </c>
      <c r="KW13" s="116" t="s">
        <v>187</v>
      </c>
      <c r="KX13">
        <v>0</v>
      </c>
      <c r="KY13">
        <v>0</v>
      </c>
      <c r="KZ13" s="116" t="s">
        <v>187</v>
      </c>
      <c r="LA13" s="116" t="s">
        <v>187</v>
      </c>
      <c r="LB13">
        <v>0</v>
      </c>
      <c r="LC13">
        <v>0</v>
      </c>
      <c r="LD13">
        <v>0.30769230769230771</v>
      </c>
      <c r="LE13">
        <v>0.15384615384615385</v>
      </c>
      <c r="LF13">
        <v>0</v>
      </c>
      <c r="LG13">
        <v>0.15384615384615385</v>
      </c>
      <c r="LH13">
        <v>0.2857142857142857</v>
      </c>
      <c r="LI13">
        <v>0.21428571428571427</v>
      </c>
      <c r="LJ13">
        <v>0</v>
      </c>
      <c r="LK13">
        <v>7.1428571428571425E-2</v>
      </c>
    </row>
    <row r="14" spans="1:323" x14ac:dyDescent="0.25">
      <c r="A14" t="s">
        <v>13</v>
      </c>
      <c r="B14" t="s">
        <v>56</v>
      </c>
      <c r="C14" t="s">
        <v>164</v>
      </c>
      <c r="D14">
        <v>1.2572533849129593E-2</v>
      </c>
      <c r="E14">
        <v>6.5764023210831718E-2</v>
      </c>
      <c r="F14">
        <v>0.22243713733075435</v>
      </c>
      <c r="G14">
        <v>0.46131528046421666</v>
      </c>
      <c r="H14">
        <v>0.23791102514506771</v>
      </c>
      <c r="I14">
        <v>1.1579818031430935E-2</v>
      </c>
      <c r="J14">
        <v>6.1621174524400329E-2</v>
      </c>
      <c r="K14">
        <v>0.21464019851116625</v>
      </c>
      <c r="L14">
        <v>0.44582299421009097</v>
      </c>
      <c r="M14">
        <v>0.26633581472291151</v>
      </c>
      <c r="N14">
        <v>0.57352941176470584</v>
      </c>
      <c r="O14">
        <v>0.42647058823529416</v>
      </c>
      <c r="P14">
        <v>0.57046979865771807</v>
      </c>
      <c r="Q14">
        <v>0.42953020134228193</v>
      </c>
      <c r="R14">
        <v>68</v>
      </c>
      <c r="S14">
        <v>45.573529411764703</v>
      </c>
      <c r="T14">
        <v>6</v>
      </c>
      <c r="U14">
        <v>16.838235294117649</v>
      </c>
      <c r="V14">
        <v>5.3088235294117645</v>
      </c>
      <c r="W14">
        <v>47.882352941176471</v>
      </c>
      <c r="X14">
        <v>149</v>
      </c>
      <c r="Y14">
        <v>45.778523489932887</v>
      </c>
      <c r="Z14">
        <v>13</v>
      </c>
      <c r="AA14">
        <v>14.100671140939598</v>
      </c>
      <c r="AB14">
        <v>4.798657718120805</v>
      </c>
      <c r="AC14">
        <v>37.973154362416111</v>
      </c>
      <c r="AD14">
        <v>0.27142857142857141</v>
      </c>
      <c r="AE14">
        <v>0.44230769230769229</v>
      </c>
      <c r="AF14">
        <v>190</v>
      </c>
      <c r="AG14">
        <v>552</v>
      </c>
      <c r="AH14">
        <v>0.69857142857142862</v>
      </c>
      <c r="AI14">
        <v>0.52804487179487181</v>
      </c>
      <c r="AJ14">
        <v>489</v>
      </c>
      <c r="AK14">
        <v>659</v>
      </c>
      <c r="AL14">
        <v>7.1428571428571426E-3</v>
      </c>
      <c r="AM14">
        <v>1.0416666666666666E-2</v>
      </c>
      <c r="AN14">
        <v>5</v>
      </c>
      <c r="AO14">
        <v>13</v>
      </c>
      <c r="AP14">
        <v>2.2857142857142857E-2</v>
      </c>
      <c r="AQ14">
        <v>1.282051282051282E-2</v>
      </c>
      <c r="AR14">
        <v>16</v>
      </c>
      <c r="AS14">
        <v>16</v>
      </c>
      <c r="AT14">
        <v>0</v>
      </c>
      <c r="AU14">
        <v>6.41025641025641E-3</v>
      </c>
      <c r="AV14">
        <v>0</v>
      </c>
      <c r="AW14">
        <v>8</v>
      </c>
      <c r="AX14">
        <v>0</v>
      </c>
      <c r="AY14">
        <v>0</v>
      </c>
      <c r="AZ14">
        <v>0</v>
      </c>
      <c r="BA14">
        <v>0</v>
      </c>
      <c r="BB14">
        <v>0.19117647058823528</v>
      </c>
      <c r="BC14">
        <v>3.5735294117647061</v>
      </c>
      <c r="BD14">
        <v>1.4705882352941176E-2</v>
      </c>
      <c r="BE14">
        <v>0.41176470588235292</v>
      </c>
      <c r="BF14">
        <v>1.4705882352941176E-2</v>
      </c>
      <c r="BG14" s="116" t="s">
        <v>187</v>
      </c>
      <c r="BH14">
        <v>0.28859060402684567</v>
      </c>
      <c r="BI14">
        <v>6.0067114093959733</v>
      </c>
      <c r="BJ14">
        <v>5.3691275167785234E-2</v>
      </c>
      <c r="BK14">
        <v>0.70469798657718119</v>
      </c>
      <c r="BL14">
        <v>2.6845637583892617E-2</v>
      </c>
      <c r="BM14">
        <v>0.66442953020134232</v>
      </c>
      <c r="BN14">
        <v>0.32132963988919666</v>
      </c>
      <c r="BO14">
        <v>0.27272727272727271</v>
      </c>
      <c r="BP14">
        <v>116</v>
      </c>
      <c r="BQ14">
        <v>195</v>
      </c>
      <c r="BR14">
        <v>0.11634349030470914</v>
      </c>
      <c r="BS14">
        <v>0.14265734265734265</v>
      </c>
      <c r="BT14">
        <v>42</v>
      </c>
      <c r="BU14">
        <v>102</v>
      </c>
      <c r="BV14">
        <v>6.9252077562326875E-2</v>
      </c>
      <c r="BW14">
        <v>6.7132867132867133E-2</v>
      </c>
      <c r="BX14">
        <v>25</v>
      </c>
      <c r="BY14">
        <v>48</v>
      </c>
      <c r="BZ14">
        <v>8.3102493074792241E-2</v>
      </c>
      <c r="CA14">
        <v>7.2727272727272724E-2</v>
      </c>
      <c r="CB14">
        <v>30</v>
      </c>
      <c r="CC14">
        <v>52</v>
      </c>
      <c r="CD14">
        <v>3.6011080332409975E-2</v>
      </c>
      <c r="CE14">
        <v>5.1748251748251747E-2</v>
      </c>
      <c r="CF14">
        <v>13</v>
      </c>
      <c r="CG14">
        <v>37</v>
      </c>
      <c r="CH14">
        <v>4.7091412742382273E-2</v>
      </c>
      <c r="CI14">
        <v>3.6363636363636362E-2</v>
      </c>
      <c r="CJ14">
        <v>17</v>
      </c>
      <c r="CK14">
        <v>26</v>
      </c>
      <c r="CL14">
        <v>0</v>
      </c>
      <c r="CM14">
        <v>0</v>
      </c>
      <c r="CN14">
        <v>0</v>
      </c>
      <c r="CO14">
        <v>0</v>
      </c>
      <c r="CP14">
        <v>2.2160664819944598E-2</v>
      </c>
      <c r="CQ14">
        <v>3.9160839160839164E-2</v>
      </c>
      <c r="CR14">
        <v>8</v>
      </c>
      <c r="CS14">
        <v>28</v>
      </c>
      <c r="CT14">
        <v>3.6011080332409975E-2</v>
      </c>
      <c r="CU14">
        <v>4.8951048951048952E-2</v>
      </c>
      <c r="CV14">
        <v>13</v>
      </c>
      <c r="CW14">
        <v>35</v>
      </c>
      <c r="CX14">
        <v>0.23268698060941828</v>
      </c>
      <c r="CY14">
        <v>0.24615384615384617</v>
      </c>
      <c r="CZ14">
        <v>84</v>
      </c>
      <c r="DA14">
        <v>176</v>
      </c>
      <c r="DB14">
        <v>3.6011080332409962E-2</v>
      </c>
      <c r="DC14">
        <v>2.2377622377622419E-2</v>
      </c>
      <c r="DD14">
        <v>12.999999999999995</v>
      </c>
      <c r="DE14">
        <v>21.853448275862064</v>
      </c>
      <c r="DF14">
        <v>0.13235294117647059</v>
      </c>
      <c r="DG14">
        <v>0.13422818791946309</v>
      </c>
      <c r="DH14">
        <v>9</v>
      </c>
      <c r="DI14">
        <v>20</v>
      </c>
      <c r="DJ14">
        <v>7.3529411764705885E-2</v>
      </c>
      <c r="DK14">
        <v>7.3825503355704702E-2</v>
      </c>
      <c r="DL14">
        <v>5</v>
      </c>
      <c r="DM14">
        <v>11</v>
      </c>
      <c r="DN14">
        <v>0.16176470588235295</v>
      </c>
      <c r="DO14">
        <v>0.12080536912751678</v>
      </c>
      <c r="DP14">
        <v>11</v>
      </c>
      <c r="DQ14">
        <v>18</v>
      </c>
      <c r="DR14">
        <v>1.4705882352941176E-2</v>
      </c>
      <c r="DS14">
        <v>6.7114093959731542E-3</v>
      </c>
      <c r="DT14">
        <v>1</v>
      </c>
      <c r="DU14">
        <v>1</v>
      </c>
      <c r="DV14">
        <v>0.14705882352941177</v>
      </c>
      <c r="DW14">
        <v>0.13422818791946309</v>
      </c>
      <c r="DX14">
        <v>10</v>
      </c>
      <c r="DY14">
        <v>20</v>
      </c>
      <c r="DZ14">
        <v>5.8823529411764705E-2</v>
      </c>
      <c r="EA14">
        <v>8.7248322147651006E-2</v>
      </c>
      <c r="EB14">
        <v>4</v>
      </c>
      <c r="EC14">
        <v>13</v>
      </c>
      <c r="ED14">
        <v>0.36764705882352944</v>
      </c>
      <c r="EE14">
        <v>0.3825503355704698</v>
      </c>
      <c r="EF14">
        <v>25</v>
      </c>
      <c r="EG14">
        <v>57</v>
      </c>
      <c r="EH14">
        <v>4.4117647058823484E-2</v>
      </c>
      <c r="EI14">
        <v>6.0402684563758413E-2</v>
      </c>
      <c r="EJ14">
        <v>2.9999999999999969</v>
      </c>
      <c r="EK14">
        <v>9.0000000000000036</v>
      </c>
      <c r="EL14">
        <v>0</v>
      </c>
      <c r="EM14">
        <v>9.3959731543624164E-2</v>
      </c>
      <c r="EN14">
        <v>0</v>
      </c>
      <c r="EO14">
        <v>14</v>
      </c>
      <c r="EP14">
        <v>0</v>
      </c>
      <c r="EQ14">
        <v>6.7114093959731544E-2</v>
      </c>
      <c r="ER14">
        <v>0</v>
      </c>
      <c r="ES14">
        <v>10</v>
      </c>
      <c r="ET14">
        <v>0.98529411764705888</v>
      </c>
      <c r="EU14">
        <v>0.50335570469798663</v>
      </c>
      <c r="EV14">
        <v>67</v>
      </c>
      <c r="EW14">
        <v>75</v>
      </c>
      <c r="EX14">
        <v>0</v>
      </c>
      <c r="EY14">
        <v>6.7114093959731544E-2</v>
      </c>
      <c r="EZ14">
        <v>0</v>
      </c>
      <c r="FA14">
        <v>10</v>
      </c>
      <c r="FB14">
        <v>0</v>
      </c>
      <c r="FC14">
        <v>8.7248322147651006E-2</v>
      </c>
      <c r="FD14">
        <v>0</v>
      </c>
      <c r="FE14">
        <v>13</v>
      </c>
      <c r="FF14">
        <v>0</v>
      </c>
      <c r="FG14">
        <v>0.13422818791946309</v>
      </c>
      <c r="FH14">
        <v>0</v>
      </c>
      <c r="FI14">
        <v>20</v>
      </c>
      <c r="FJ14">
        <v>1.4705882352941176E-2</v>
      </c>
      <c r="FK14">
        <v>4.6979865771812082E-2</v>
      </c>
      <c r="FL14">
        <v>1</v>
      </c>
      <c r="FM14">
        <v>7</v>
      </c>
      <c r="FN14">
        <v>13</v>
      </c>
      <c r="FO14">
        <v>37</v>
      </c>
      <c r="FP14">
        <v>13</v>
      </c>
      <c r="FQ14">
        <v>37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1</v>
      </c>
      <c r="GA14">
        <v>0.48648648648648651</v>
      </c>
      <c r="GB14">
        <v>13</v>
      </c>
      <c r="GC14">
        <v>18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5.4054054054054057E-2</v>
      </c>
      <c r="GJ14">
        <v>0</v>
      </c>
      <c r="GK14">
        <v>2</v>
      </c>
      <c r="GL14">
        <v>0</v>
      </c>
      <c r="GM14">
        <v>0.32432432432432434</v>
      </c>
      <c r="GN14">
        <v>0</v>
      </c>
      <c r="GO14">
        <v>12</v>
      </c>
      <c r="GP14">
        <v>0</v>
      </c>
      <c r="GQ14">
        <v>0.13513513513513514</v>
      </c>
      <c r="GR14">
        <v>0</v>
      </c>
      <c r="GS14">
        <v>5</v>
      </c>
      <c r="GT14">
        <v>5.8823529411764705E-2</v>
      </c>
      <c r="GU14">
        <v>7.3825503355704702E-2</v>
      </c>
      <c r="GV14">
        <v>4</v>
      </c>
      <c r="GW14">
        <v>11</v>
      </c>
      <c r="GX14">
        <v>5.8823529411764705E-2</v>
      </c>
      <c r="GY14">
        <v>7.3825503355704702E-2</v>
      </c>
      <c r="GZ14">
        <v>4</v>
      </c>
      <c r="HA14">
        <v>11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0</v>
      </c>
      <c r="HJ14">
        <v>0</v>
      </c>
      <c r="HK14">
        <v>6.7114093959731542E-3</v>
      </c>
      <c r="HL14">
        <v>0</v>
      </c>
      <c r="HM14">
        <v>1</v>
      </c>
      <c r="HN14">
        <v>0</v>
      </c>
      <c r="HO14">
        <v>0</v>
      </c>
      <c r="HP14">
        <v>0</v>
      </c>
      <c r="HQ14">
        <v>0</v>
      </c>
      <c r="HR14">
        <v>0.8529411764705882</v>
      </c>
      <c r="HS14">
        <v>0.81208053691275173</v>
      </c>
      <c r="HT14">
        <v>58</v>
      </c>
      <c r="HU14">
        <v>121</v>
      </c>
      <c r="HV14">
        <v>2.9411764705882353E-2</v>
      </c>
      <c r="HW14">
        <v>3.3557046979865772E-2</v>
      </c>
      <c r="HX14">
        <v>2</v>
      </c>
      <c r="HY14">
        <v>5</v>
      </c>
      <c r="HZ14">
        <v>0.61538461538461542</v>
      </c>
      <c r="IA14">
        <v>0.48888888888888887</v>
      </c>
      <c r="IB14">
        <v>8</v>
      </c>
      <c r="IC14">
        <v>22</v>
      </c>
      <c r="ID14">
        <v>0</v>
      </c>
      <c r="IE14">
        <v>8.8888888888888892E-2</v>
      </c>
      <c r="IF14">
        <v>0</v>
      </c>
      <c r="IG14">
        <v>4</v>
      </c>
      <c r="IH14">
        <v>0</v>
      </c>
      <c r="II14">
        <v>6.6666666666666666E-2</v>
      </c>
      <c r="IJ14">
        <v>0</v>
      </c>
      <c r="IK14">
        <v>3</v>
      </c>
      <c r="IL14">
        <v>0</v>
      </c>
      <c r="IM14">
        <v>8.8888888888888892E-2</v>
      </c>
      <c r="IN14">
        <v>0</v>
      </c>
      <c r="IO14">
        <v>4</v>
      </c>
      <c r="IP14">
        <v>0.38461538461538464</v>
      </c>
      <c r="IQ14">
        <v>0.26666666666666666</v>
      </c>
      <c r="IR14">
        <v>5</v>
      </c>
      <c r="IS14">
        <v>12</v>
      </c>
      <c r="IT14">
        <v>93.5</v>
      </c>
      <c r="IU14">
        <v>66.038461538461533</v>
      </c>
      <c r="IV14">
        <v>0.6</v>
      </c>
      <c r="IW14">
        <v>0.61538461538461542</v>
      </c>
      <c r="IX14">
        <v>6</v>
      </c>
      <c r="IY14">
        <v>16</v>
      </c>
      <c r="IZ14">
        <v>0</v>
      </c>
      <c r="JA14">
        <v>3.8461538461538464E-2</v>
      </c>
      <c r="JB14">
        <v>0</v>
      </c>
      <c r="JC14">
        <v>1</v>
      </c>
      <c r="JD14">
        <v>0</v>
      </c>
      <c r="JE14">
        <v>0.11538461538461539</v>
      </c>
      <c r="JF14">
        <v>0</v>
      </c>
      <c r="JG14">
        <v>3</v>
      </c>
      <c r="JH14">
        <v>0</v>
      </c>
      <c r="JI14">
        <v>3.8461538461538464E-2</v>
      </c>
      <c r="JJ14">
        <v>0</v>
      </c>
      <c r="JK14">
        <v>1</v>
      </c>
      <c r="JL14">
        <v>0.4</v>
      </c>
      <c r="JM14">
        <v>0.19230769230769232</v>
      </c>
      <c r="JN14">
        <v>4</v>
      </c>
      <c r="JO14">
        <v>5</v>
      </c>
      <c r="JP14">
        <v>0</v>
      </c>
      <c r="JQ14">
        <v>0</v>
      </c>
      <c r="JR14">
        <v>0</v>
      </c>
      <c r="JS14">
        <v>0</v>
      </c>
      <c r="JT14">
        <v>1</v>
      </c>
      <c r="JU14">
        <v>0.875</v>
      </c>
      <c r="JV14">
        <v>1</v>
      </c>
      <c r="JW14">
        <v>7</v>
      </c>
      <c r="JX14">
        <v>0</v>
      </c>
      <c r="JY14">
        <v>0</v>
      </c>
      <c r="JZ14">
        <v>0</v>
      </c>
      <c r="KA14">
        <v>0</v>
      </c>
      <c r="KB14">
        <v>0</v>
      </c>
      <c r="KC14">
        <v>0.125</v>
      </c>
      <c r="KD14">
        <v>0</v>
      </c>
      <c r="KE14">
        <v>1</v>
      </c>
      <c r="KF14">
        <v>0</v>
      </c>
      <c r="KG14">
        <v>0</v>
      </c>
      <c r="KH14">
        <v>0</v>
      </c>
      <c r="KI14">
        <v>0</v>
      </c>
      <c r="KJ14">
        <v>1</v>
      </c>
      <c r="KK14">
        <v>0.5</v>
      </c>
      <c r="KL14">
        <v>1</v>
      </c>
      <c r="KM14">
        <v>4</v>
      </c>
      <c r="KN14">
        <v>0</v>
      </c>
      <c r="KO14">
        <v>0</v>
      </c>
      <c r="KP14">
        <v>0</v>
      </c>
      <c r="KQ14">
        <v>0</v>
      </c>
      <c r="KR14">
        <v>0</v>
      </c>
      <c r="KS14">
        <v>0</v>
      </c>
      <c r="KT14">
        <v>0</v>
      </c>
      <c r="KU14">
        <v>0</v>
      </c>
      <c r="KV14">
        <v>0</v>
      </c>
      <c r="KW14">
        <v>0</v>
      </c>
      <c r="KX14">
        <v>0</v>
      </c>
      <c r="KY14">
        <v>0</v>
      </c>
      <c r="KZ14">
        <v>0</v>
      </c>
      <c r="LA14">
        <v>0.5</v>
      </c>
      <c r="LB14">
        <v>0</v>
      </c>
      <c r="LC14">
        <v>4</v>
      </c>
      <c r="LD14">
        <v>0.38235294117647056</v>
      </c>
      <c r="LE14">
        <v>0.33823529411764708</v>
      </c>
      <c r="LF14">
        <v>1.4705882352941176E-2</v>
      </c>
      <c r="LG14">
        <v>2.9411764705882304E-2</v>
      </c>
      <c r="LH14">
        <v>0.41610738255033558</v>
      </c>
      <c r="LI14">
        <v>0.36912751677852351</v>
      </c>
      <c r="LJ14">
        <v>6.7114093959731542E-3</v>
      </c>
      <c r="LK14">
        <v>4.0268456375838924E-2</v>
      </c>
    </row>
    <row r="15" spans="1:323" x14ac:dyDescent="0.25">
      <c r="A15" t="s">
        <v>13</v>
      </c>
      <c r="B15" t="s">
        <v>57</v>
      </c>
      <c r="C15" t="s">
        <v>165</v>
      </c>
      <c r="D15">
        <v>1.2572533849129593E-2</v>
      </c>
      <c r="E15">
        <v>6.5764023210831718E-2</v>
      </c>
      <c r="F15">
        <v>0.22243713733075435</v>
      </c>
      <c r="G15">
        <v>0.46131528046421666</v>
      </c>
      <c r="H15">
        <v>0.23791102514506771</v>
      </c>
      <c r="I15">
        <v>1.1579818031430935E-2</v>
      </c>
      <c r="J15">
        <v>6.1621174524400329E-2</v>
      </c>
      <c r="K15">
        <v>0.21464019851116625</v>
      </c>
      <c r="L15">
        <v>0.44582299421009097</v>
      </c>
      <c r="M15">
        <v>0.26633581472291151</v>
      </c>
      <c r="N15">
        <v>0.65652173913043477</v>
      </c>
      <c r="O15">
        <v>0.34347826086956523</v>
      </c>
      <c r="P15">
        <v>0.65895953757225434</v>
      </c>
      <c r="Q15">
        <v>0.34104046242774566</v>
      </c>
      <c r="R15">
        <v>230</v>
      </c>
      <c r="S15">
        <v>55.03478260869565</v>
      </c>
      <c r="T15">
        <v>16</v>
      </c>
      <c r="U15">
        <v>13.57391304347826</v>
      </c>
      <c r="V15">
        <v>4.7913043478260873</v>
      </c>
      <c r="W15">
        <v>48.447826086956525</v>
      </c>
      <c r="X15">
        <v>519</v>
      </c>
      <c r="Y15">
        <v>55.188824662813104</v>
      </c>
      <c r="Z15">
        <v>40</v>
      </c>
      <c r="AA15">
        <v>12.921001926782274</v>
      </c>
      <c r="AB15">
        <v>4.5202312138728322</v>
      </c>
      <c r="AC15">
        <v>37.136801541425818</v>
      </c>
      <c r="AD15">
        <v>0.43831494483450351</v>
      </c>
      <c r="AE15">
        <v>0.60176557135850905</v>
      </c>
      <c r="AF15">
        <v>874</v>
      </c>
      <c r="AG15">
        <v>2454</v>
      </c>
      <c r="AH15">
        <v>0.53761283851554664</v>
      </c>
      <c r="AI15">
        <v>0.37788131436978911</v>
      </c>
      <c r="AJ15">
        <v>1072</v>
      </c>
      <c r="AK15">
        <v>1541</v>
      </c>
      <c r="AL15">
        <v>2.3570712136409228E-2</v>
      </c>
      <c r="AM15">
        <v>1.8391368317802845E-2</v>
      </c>
      <c r="AN15">
        <v>47</v>
      </c>
      <c r="AO15">
        <v>75</v>
      </c>
      <c r="AP15">
        <v>0</v>
      </c>
      <c r="AQ15">
        <v>0</v>
      </c>
      <c r="AR15">
        <v>0</v>
      </c>
      <c r="AS15">
        <v>0</v>
      </c>
      <c r="AT15">
        <v>5.0150451354062187E-4</v>
      </c>
      <c r="AU15">
        <v>1.9617459538989702E-3</v>
      </c>
      <c r="AV15">
        <v>1</v>
      </c>
      <c r="AW15">
        <v>8</v>
      </c>
      <c r="AX15">
        <v>0</v>
      </c>
      <c r="AY15">
        <v>0</v>
      </c>
      <c r="AZ15">
        <v>0</v>
      </c>
      <c r="BA15">
        <v>0</v>
      </c>
      <c r="BB15">
        <v>0.32608695652173914</v>
      </c>
      <c r="BC15">
        <v>6.2260869565217387</v>
      </c>
      <c r="BD15">
        <v>5.6521739130434782E-2</v>
      </c>
      <c r="BE15">
        <v>1.6</v>
      </c>
      <c r="BF15">
        <v>0</v>
      </c>
      <c r="BG15" s="116" t="s">
        <v>187</v>
      </c>
      <c r="BH15">
        <v>0.31021194605009633</v>
      </c>
      <c r="BI15">
        <v>7.2292870905587669</v>
      </c>
      <c r="BJ15">
        <v>6.1657032755298651E-2</v>
      </c>
      <c r="BK15">
        <v>1.3333333333333333</v>
      </c>
      <c r="BL15">
        <v>0</v>
      </c>
      <c r="BM15">
        <v>0</v>
      </c>
      <c r="BN15">
        <v>0.27495462794918329</v>
      </c>
      <c r="BO15">
        <v>0.27024722932651324</v>
      </c>
      <c r="BP15">
        <v>303</v>
      </c>
      <c r="BQ15">
        <v>634</v>
      </c>
      <c r="BR15">
        <v>0.15970961887477314</v>
      </c>
      <c r="BS15">
        <v>0.15942028985507245</v>
      </c>
      <c r="BT15">
        <v>176</v>
      </c>
      <c r="BU15">
        <v>374</v>
      </c>
      <c r="BV15">
        <v>5.8076225045372049E-2</v>
      </c>
      <c r="BW15">
        <v>5.7971014492753624E-2</v>
      </c>
      <c r="BX15">
        <v>64</v>
      </c>
      <c r="BY15">
        <v>136</v>
      </c>
      <c r="BZ15">
        <v>6.7150635208711437E-2</v>
      </c>
      <c r="CA15">
        <v>6.1381074168797956E-2</v>
      </c>
      <c r="CB15">
        <v>74</v>
      </c>
      <c r="CC15">
        <v>144</v>
      </c>
      <c r="CD15">
        <v>3.8112522686025406E-2</v>
      </c>
      <c r="CE15">
        <v>4.6035805626598467E-2</v>
      </c>
      <c r="CF15">
        <v>42</v>
      </c>
      <c r="CG15">
        <v>108</v>
      </c>
      <c r="CH15">
        <v>3.8112522686025406E-2</v>
      </c>
      <c r="CI15">
        <v>3.7084398976982097E-2</v>
      </c>
      <c r="CJ15">
        <v>42</v>
      </c>
      <c r="CK15">
        <v>87</v>
      </c>
      <c r="CL15">
        <v>0</v>
      </c>
      <c r="CM15">
        <v>0</v>
      </c>
      <c r="CN15">
        <v>0</v>
      </c>
      <c r="CO15">
        <v>0</v>
      </c>
      <c r="CP15">
        <v>2.8130671506352088E-2</v>
      </c>
      <c r="CQ15">
        <v>3.239556692242114E-2</v>
      </c>
      <c r="CR15">
        <v>31</v>
      </c>
      <c r="CS15">
        <v>76</v>
      </c>
      <c r="CT15">
        <v>4.1742286751361164E-2</v>
      </c>
      <c r="CU15">
        <v>5.285592497868713E-2</v>
      </c>
      <c r="CV15">
        <v>46</v>
      </c>
      <c r="CW15">
        <v>124</v>
      </c>
      <c r="CX15">
        <v>0.26043557168784032</v>
      </c>
      <c r="CY15">
        <v>0.25191815856777494</v>
      </c>
      <c r="CZ15">
        <v>287</v>
      </c>
      <c r="DA15">
        <v>591</v>
      </c>
      <c r="DB15">
        <v>3.3575317604355837E-2</v>
      </c>
      <c r="DC15">
        <v>3.0690537084398839E-2</v>
      </c>
      <c r="DD15">
        <v>37.000000000000135</v>
      </c>
      <c r="DE15">
        <v>77.419141914191698</v>
      </c>
      <c r="DF15">
        <v>0.10434782608695652</v>
      </c>
      <c r="DG15">
        <v>0.10597302504816955</v>
      </c>
      <c r="DH15">
        <v>24</v>
      </c>
      <c r="DI15">
        <v>55</v>
      </c>
      <c r="DJ15">
        <v>4.3478260869565216E-2</v>
      </c>
      <c r="DK15">
        <v>5.0096339113680152E-2</v>
      </c>
      <c r="DL15">
        <v>10</v>
      </c>
      <c r="DM15">
        <v>26</v>
      </c>
      <c r="DN15">
        <v>0.14782608695652175</v>
      </c>
      <c r="DO15">
        <v>0.13680154142581888</v>
      </c>
      <c r="DP15">
        <v>34</v>
      </c>
      <c r="DQ15">
        <v>71</v>
      </c>
      <c r="DR15">
        <v>1.3043478260869565E-2</v>
      </c>
      <c r="DS15">
        <v>1.9267822736030827E-2</v>
      </c>
      <c r="DT15">
        <v>3</v>
      </c>
      <c r="DU15">
        <v>10</v>
      </c>
      <c r="DV15">
        <v>0.13478260869565217</v>
      </c>
      <c r="DW15">
        <v>9.8265895953757232E-2</v>
      </c>
      <c r="DX15">
        <v>31</v>
      </c>
      <c r="DY15">
        <v>51</v>
      </c>
      <c r="DZ15">
        <v>0.10869565217391304</v>
      </c>
      <c r="EA15">
        <v>9.6339113680154145E-2</v>
      </c>
      <c r="EB15">
        <v>25</v>
      </c>
      <c r="EC15">
        <v>50</v>
      </c>
      <c r="ED15">
        <v>0.4</v>
      </c>
      <c r="EE15">
        <v>0.42003853564547206</v>
      </c>
      <c r="EF15">
        <v>92</v>
      </c>
      <c r="EG15">
        <v>218</v>
      </c>
      <c r="EH15">
        <v>4.7826086956521796E-2</v>
      </c>
      <c r="EI15">
        <v>7.3217726396917149E-2</v>
      </c>
      <c r="EJ15">
        <v>11.000000000000014</v>
      </c>
      <c r="EK15">
        <v>38</v>
      </c>
      <c r="EL15">
        <v>0</v>
      </c>
      <c r="EM15">
        <v>9.8265895953757232E-2</v>
      </c>
      <c r="EN15">
        <v>0</v>
      </c>
      <c r="EO15">
        <v>51</v>
      </c>
      <c r="EP15">
        <v>0</v>
      </c>
      <c r="EQ15">
        <v>7.7071290944123308E-2</v>
      </c>
      <c r="ER15">
        <v>0</v>
      </c>
      <c r="ES15">
        <v>40</v>
      </c>
      <c r="ET15">
        <v>1</v>
      </c>
      <c r="EU15">
        <v>0.50289017341040465</v>
      </c>
      <c r="EV15">
        <v>230</v>
      </c>
      <c r="EW15">
        <v>261</v>
      </c>
      <c r="EX15">
        <v>0</v>
      </c>
      <c r="EY15">
        <v>4.046242774566474E-2</v>
      </c>
      <c r="EZ15">
        <v>0</v>
      </c>
      <c r="FA15">
        <v>21</v>
      </c>
      <c r="FB15">
        <v>0</v>
      </c>
      <c r="FC15">
        <v>7.7071290944123308E-2</v>
      </c>
      <c r="FD15">
        <v>0</v>
      </c>
      <c r="FE15">
        <v>40</v>
      </c>
      <c r="FF15">
        <v>0</v>
      </c>
      <c r="FG15">
        <v>0.16955684007707128</v>
      </c>
      <c r="FH15">
        <v>0</v>
      </c>
      <c r="FI15">
        <v>88</v>
      </c>
      <c r="FJ15">
        <v>0</v>
      </c>
      <c r="FK15">
        <v>3.4682080924855488E-2</v>
      </c>
      <c r="FL15">
        <v>0</v>
      </c>
      <c r="FM15">
        <v>18</v>
      </c>
      <c r="FN15">
        <v>42</v>
      </c>
      <c r="FO15">
        <v>108</v>
      </c>
      <c r="FP15">
        <v>42</v>
      </c>
      <c r="FQ15">
        <v>108</v>
      </c>
      <c r="FR15">
        <v>0</v>
      </c>
      <c r="FS15">
        <v>7.407407407407407E-2</v>
      </c>
      <c r="FT15">
        <v>0</v>
      </c>
      <c r="FU15">
        <v>8</v>
      </c>
      <c r="FV15">
        <v>0</v>
      </c>
      <c r="FW15">
        <v>0</v>
      </c>
      <c r="FX15">
        <v>0</v>
      </c>
      <c r="FY15">
        <v>0</v>
      </c>
      <c r="FZ15">
        <v>1</v>
      </c>
      <c r="GA15">
        <v>0.45370370370370372</v>
      </c>
      <c r="GB15">
        <v>42</v>
      </c>
      <c r="GC15">
        <v>49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2.7777777777777776E-2</v>
      </c>
      <c r="GJ15">
        <v>0</v>
      </c>
      <c r="GK15">
        <v>3</v>
      </c>
      <c r="GL15">
        <v>0</v>
      </c>
      <c r="GM15">
        <v>0.37962962962962965</v>
      </c>
      <c r="GN15">
        <v>0</v>
      </c>
      <c r="GO15">
        <v>41</v>
      </c>
      <c r="GP15">
        <v>0</v>
      </c>
      <c r="GQ15">
        <v>6.4814814814814811E-2</v>
      </c>
      <c r="GR15">
        <v>0</v>
      </c>
      <c r="GS15">
        <v>7</v>
      </c>
      <c r="GT15">
        <v>4.7826086956521741E-2</v>
      </c>
      <c r="GU15">
        <v>4.6242774566473986E-2</v>
      </c>
      <c r="GV15">
        <v>11</v>
      </c>
      <c r="GW15">
        <v>24</v>
      </c>
      <c r="GX15">
        <v>8.2608695652173908E-2</v>
      </c>
      <c r="GY15">
        <v>6.5510597302504817E-2</v>
      </c>
      <c r="GZ15">
        <v>19</v>
      </c>
      <c r="HA15">
        <v>34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  <c r="HI15">
        <v>0</v>
      </c>
      <c r="HJ15">
        <v>0</v>
      </c>
      <c r="HK15">
        <v>0</v>
      </c>
      <c r="HL15">
        <v>0</v>
      </c>
      <c r="HM15">
        <v>0</v>
      </c>
      <c r="HN15">
        <v>0</v>
      </c>
      <c r="HO15">
        <v>0</v>
      </c>
      <c r="HP15">
        <v>0</v>
      </c>
      <c r="HQ15">
        <v>0</v>
      </c>
      <c r="HR15">
        <v>0.83913043478260874</v>
      </c>
      <c r="HS15">
        <v>0.8554913294797688</v>
      </c>
      <c r="HT15">
        <v>193</v>
      </c>
      <c r="HU15">
        <v>444</v>
      </c>
      <c r="HV15">
        <v>3.0434782608695653E-2</v>
      </c>
      <c r="HW15">
        <v>3.2755298651252408E-2</v>
      </c>
      <c r="HX15">
        <v>7</v>
      </c>
      <c r="HY15">
        <v>17</v>
      </c>
      <c r="HZ15">
        <v>0.52631578947368418</v>
      </c>
      <c r="IA15">
        <v>0.47619047619047616</v>
      </c>
      <c r="IB15">
        <v>40</v>
      </c>
      <c r="IC15">
        <v>80</v>
      </c>
      <c r="ID15">
        <v>0.23684210526315788</v>
      </c>
      <c r="IE15">
        <v>0.18452380952380953</v>
      </c>
      <c r="IF15">
        <v>18</v>
      </c>
      <c r="IG15">
        <v>31</v>
      </c>
      <c r="IH15">
        <v>2.6315789473684209E-2</v>
      </c>
      <c r="II15">
        <v>4.7619047619047616E-2</v>
      </c>
      <c r="IJ15">
        <v>2</v>
      </c>
      <c r="IK15">
        <v>8</v>
      </c>
      <c r="IL15">
        <v>1.3157894736842105E-2</v>
      </c>
      <c r="IM15">
        <v>2.976190476190476E-2</v>
      </c>
      <c r="IN15">
        <v>1</v>
      </c>
      <c r="IO15">
        <v>5</v>
      </c>
      <c r="IP15">
        <v>0.19736842105263158</v>
      </c>
      <c r="IQ15">
        <v>0.26190476190476192</v>
      </c>
      <c r="IR15">
        <v>15</v>
      </c>
      <c r="IS15">
        <v>44</v>
      </c>
      <c r="IT15">
        <v>60.418181818181822</v>
      </c>
      <c r="IU15">
        <v>73.745614035087726</v>
      </c>
      <c r="IV15">
        <v>0.63636363636363635</v>
      </c>
      <c r="IW15">
        <v>0.53508771929824561</v>
      </c>
      <c r="IX15">
        <v>35</v>
      </c>
      <c r="IY15">
        <v>61</v>
      </c>
      <c r="IZ15">
        <v>0.16363636363636364</v>
      </c>
      <c r="JA15">
        <v>0.14035087719298245</v>
      </c>
      <c r="JB15">
        <v>9</v>
      </c>
      <c r="JC15">
        <v>16</v>
      </c>
      <c r="JD15">
        <v>3.6363636363636362E-2</v>
      </c>
      <c r="JE15">
        <v>6.1403508771929821E-2</v>
      </c>
      <c r="JF15">
        <v>2</v>
      </c>
      <c r="JG15">
        <v>7</v>
      </c>
      <c r="JH15">
        <v>1.8181818181818181E-2</v>
      </c>
      <c r="JI15">
        <v>1.7543859649122806E-2</v>
      </c>
      <c r="JJ15">
        <v>1</v>
      </c>
      <c r="JK15">
        <v>2</v>
      </c>
      <c r="JL15">
        <v>0.14545454545454545</v>
      </c>
      <c r="JM15">
        <v>0.24561403508771928</v>
      </c>
      <c r="JN15">
        <v>8</v>
      </c>
      <c r="JO15">
        <v>28</v>
      </c>
      <c r="JP15">
        <v>9.0909090909090912E-2</v>
      </c>
      <c r="JQ15">
        <v>0.2</v>
      </c>
      <c r="JR15">
        <v>1</v>
      </c>
      <c r="JS15">
        <v>6</v>
      </c>
      <c r="JT15">
        <v>0.72727272727272729</v>
      </c>
      <c r="JU15">
        <v>0.66666666666666663</v>
      </c>
      <c r="JV15">
        <v>8</v>
      </c>
      <c r="JW15">
        <v>20</v>
      </c>
      <c r="JX15">
        <v>0</v>
      </c>
      <c r="JY15">
        <v>0</v>
      </c>
      <c r="JZ15">
        <v>0</v>
      </c>
      <c r="KA15">
        <v>0</v>
      </c>
      <c r="KB15">
        <v>0</v>
      </c>
      <c r="KC15">
        <v>0</v>
      </c>
      <c r="KD15">
        <v>0</v>
      </c>
      <c r="KE15">
        <v>0</v>
      </c>
      <c r="KF15">
        <v>0.18181818181818177</v>
      </c>
      <c r="KG15">
        <v>0.1333333333333333</v>
      </c>
      <c r="KH15">
        <v>2</v>
      </c>
      <c r="KI15">
        <v>4</v>
      </c>
      <c r="KJ15">
        <v>9.0909090909090912E-2</v>
      </c>
      <c r="KK15">
        <v>0.1</v>
      </c>
      <c r="KL15">
        <v>1</v>
      </c>
      <c r="KM15">
        <v>3</v>
      </c>
      <c r="KN15">
        <v>0.18181818181818182</v>
      </c>
      <c r="KO15">
        <v>0.23333333333333334</v>
      </c>
      <c r="KP15">
        <v>2</v>
      </c>
      <c r="KQ15">
        <v>7</v>
      </c>
      <c r="KR15">
        <v>0</v>
      </c>
      <c r="KS15">
        <v>0.13333333333333333</v>
      </c>
      <c r="KT15">
        <v>0</v>
      </c>
      <c r="KU15">
        <v>4</v>
      </c>
      <c r="KV15">
        <v>0.36363636363636365</v>
      </c>
      <c r="KW15">
        <v>0.16666666666666666</v>
      </c>
      <c r="KX15">
        <v>4</v>
      </c>
      <c r="KY15">
        <v>5</v>
      </c>
      <c r="KZ15">
        <v>0.36363636363636365</v>
      </c>
      <c r="LA15">
        <v>0.3666666666666667</v>
      </c>
      <c r="LB15">
        <v>4</v>
      </c>
      <c r="LC15">
        <v>11</v>
      </c>
      <c r="LD15">
        <v>0.36521739130434783</v>
      </c>
      <c r="LE15">
        <v>0.33478260869565218</v>
      </c>
      <c r="LF15">
        <v>4.3478260869565218E-3</v>
      </c>
      <c r="LG15">
        <v>2.6086956521739146E-2</v>
      </c>
      <c r="LH15">
        <v>0.39691714836223507</v>
      </c>
      <c r="LI15">
        <v>0.34874759152215801</v>
      </c>
      <c r="LJ15">
        <v>9.6339113680154135E-3</v>
      </c>
      <c r="LK15">
        <v>3.8535645472061675E-2</v>
      </c>
    </row>
    <row r="16" spans="1:323" x14ac:dyDescent="0.25">
      <c r="A16" t="s">
        <v>13</v>
      </c>
      <c r="B16" t="s">
        <v>58</v>
      </c>
      <c r="C16" t="s">
        <v>166</v>
      </c>
      <c r="D16">
        <v>1.2572533849129593E-2</v>
      </c>
      <c r="E16">
        <v>6.5764023210831718E-2</v>
      </c>
      <c r="F16">
        <v>0.22243713733075435</v>
      </c>
      <c r="G16">
        <v>0.46131528046421666</v>
      </c>
      <c r="H16">
        <v>0.23791102514506771</v>
      </c>
      <c r="I16">
        <v>1.1579818031430935E-2</v>
      </c>
      <c r="J16">
        <v>6.1621174524400329E-2</v>
      </c>
      <c r="K16">
        <v>0.21464019851116625</v>
      </c>
      <c r="L16">
        <v>0.44582299421009097</v>
      </c>
      <c r="M16">
        <v>0.26633581472291151</v>
      </c>
      <c r="N16">
        <v>0.75052410901467503</v>
      </c>
      <c r="O16">
        <v>0.24947589098532497</v>
      </c>
      <c r="P16">
        <v>0.74953617810760664</v>
      </c>
      <c r="Q16">
        <v>0.25046382189239336</v>
      </c>
      <c r="R16">
        <v>477</v>
      </c>
      <c r="S16">
        <v>66.364779874213838</v>
      </c>
      <c r="T16">
        <v>55</v>
      </c>
      <c r="U16">
        <v>11.79454926624738</v>
      </c>
      <c r="V16">
        <v>4.0293501048218028</v>
      </c>
      <c r="W16">
        <v>42</v>
      </c>
      <c r="X16">
        <v>1078</v>
      </c>
      <c r="Y16">
        <v>66.545454545454547</v>
      </c>
      <c r="Z16">
        <v>117</v>
      </c>
      <c r="AA16">
        <v>11.397959183673469</v>
      </c>
      <c r="AB16">
        <v>4.1419294990723561</v>
      </c>
      <c r="AC16">
        <v>33.974953617810762</v>
      </c>
      <c r="AD16">
        <v>0.42018348623853213</v>
      </c>
      <c r="AE16">
        <v>0.54749015748031493</v>
      </c>
      <c r="AF16">
        <v>1603</v>
      </c>
      <c r="AG16">
        <v>4450</v>
      </c>
      <c r="AH16">
        <v>0.56068152031454788</v>
      </c>
      <c r="AI16">
        <v>0.43085629921259844</v>
      </c>
      <c r="AJ16">
        <v>2139</v>
      </c>
      <c r="AK16">
        <v>3502</v>
      </c>
      <c r="AL16">
        <v>1.6513761467889909E-2</v>
      </c>
      <c r="AM16">
        <v>1.7470472440944882E-2</v>
      </c>
      <c r="AN16">
        <v>63</v>
      </c>
      <c r="AO16">
        <v>142</v>
      </c>
      <c r="AP16">
        <v>1.5727391874180866E-3</v>
      </c>
      <c r="AQ16">
        <v>1.3533464566929134E-3</v>
      </c>
      <c r="AR16">
        <v>6</v>
      </c>
      <c r="AS16">
        <v>11</v>
      </c>
      <c r="AT16">
        <v>1.0484927916120576E-3</v>
      </c>
      <c r="AU16">
        <v>2.7066929133858267E-3</v>
      </c>
      <c r="AV16">
        <v>4</v>
      </c>
      <c r="AW16">
        <v>22</v>
      </c>
      <c r="AX16">
        <v>0</v>
      </c>
      <c r="AY16">
        <v>1.2303149606299212E-4</v>
      </c>
      <c r="AZ16">
        <v>0</v>
      </c>
      <c r="BA16">
        <v>1</v>
      </c>
      <c r="BB16">
        <v>0.28511530398322849</v>
      </c>
      <c r="BC16">
        <v>5.5010482180293501</v>
      </c>
      <c r="BD16">
        <v>4.40251572327044E-2</v>
      </c>
      <c r="BE16">
        <v>0.7190775681341719</v>
      </c>
      <c r="BF16">
        <v>0</v>
      </c>
      <c r="BG16" s="116" t="s">
        <v>187</v>
      </c>
      <c r="BH16">
        <v>0.3432282003710575</v>
      </c>
      <c r="BI16">
        <v>8.3079777365491658</v>
      </c>
      <c r="BJ16">
        <v>6.4007421150278299E-2</v>
      </c>
      <c r="BK16">
        <v>1.5213358070500929</v>
      </c>
      <c r="BL16">
        <v>7.4211502782931356E-3</v>
      </c>
      <c r="BM16">
        <v>0.13636363636363635</v>
      </c>
      <c r="BN16">
        <v>0.20967741935483872</v>
      </c>
      <c r="BO16">
        <v>0.19955207166853303</v>
      </c>
      <c r="BP16">
        <v>403</v>
      </c>
      <c r="BQ16">
        <v>891</v>
      </c>
      <c r="BR16">
        <v>0.17845993756503642</v>
      </c>
      <c r="BS16">
        <v>0.18096304591265397</v>
      </c>
      <c r="BT16">
        <v>343</v>
      </c>
      <c r="BU16">
        <v>808</v>
      </c>
      <c r="BV16">
        <v>5.5671175858480748E-2</v>
      </c>
      <c r="BW16">
        <v>5.4647256438969762E-2</v>
      </c>
      <c r="BX16">
        <v>107</v>
      </c>
      <c r="BY16">
        <v>244</v>
      </c>
      <c r="BZ16">
        <v>6.3995837669094696E-2</v>
      </c>
      <c r="CA16">
        <v>6.2933930571108618E-2</v>
      </c>
      <c r="CB16">
        <v>123</v>
      </c>
      <c r="CC16">
        <v>281</v>
      </c>
      <c r="CD16">
        <v>4.5785639958376693E-2</v>
      </c>
      <c r="CE16">
        <v>5.6886898096304594E-2</v>
      </c>
      <c r="CF16">
        <v>88</v>
      </c>
      <c r="CG16">
        <v>254</v>
      </c>
      <c r="CH16">
        <v>4.8387096774193547E-2</v>
      </c>
      <c r="CI16">
        <v>4.0985442329227323E-2</v>
      </c>
      <c r="CJ16">
        <v>93</v>
      </c>
      <c r="CK16">
        <v>183</v>
      </c>
      <c r="CL16">
        <v>0</v>
      </c>
      <c r="CM16">
        <v>0</v>
      </c>
      <c r="CN16">
        <v>0</v>
      </c>
      <c r="CO16">
        <v>0</v>
      </c>
      <c r="CP16">
        <v>2.029136316337149E-2</v>
      </c>
      <c r="CQ16">
        <v>2.553191489361702E-2</v>
      </c>
      <c r="CR16">
        <v>39</v>
      </c>
      <c r="CS16">
        <v>114</v>
      </c>
      <c r="CT16">
        <v>4.3704474505723206E-2</v>
      </c>
      <c r="CU16">
        <v>5.3751399776035831E-2</v>
      </c>
      <c r="CV16">
        <v>84</v>
      </c>
      <c r="CW16">
        <v>240</v>
      </c>
      <c r="CX16">
        <v>0.30489073881373568</v>
      </c>
      <c r="CY16">
        <v>0.29832026875699891</v>
      </c>
      <c r="CZ16">
        <v>586</v>
      </c>
      <c r="DA16">
        <v>1332</v>
      </c>
      <c r="DB16">
        <v>2.9136316337148749E-2</v>
      </c>
      <c r="DC16">
        <v>2.642777155655085E-2</v>
      </c>
      <c r="DD16">
        <v>55.999999999999901</v>
      </c>
      <c r="DE16">
        <v>123.81141439205932</v>
      </c>
      <c r="DF16">
        <v>9.2243186582809222E-2</v>
      </c>
      <c r="DG16">
        <v>9.9257884972170682E-2</v>
      </c>
      <c r="DH16">
        <v>44</v>
      </c>
      <c r="DI16">
        <v>107</v>
      </c>
      <c r="DJ16">
        <v>4.6121593291404611E-2</v>
      </c>
      <c r="DK16">
        <v>5.1948051948051951E-2</v>
      </c>
      <c r="DL16">
        <v>22</v>
      </c>
      <c r="DM16">
        <v>56</v>
      </c>
      <c r="DN16">
        <v>0.16352201257861634</v>
      </c>
      <c r="DO16">
        <v>0.13358070500927643</v>
      </c>
      <c r="DP16">
        <v>78</v>
      </c>
      <c r="DQ16">
        <v>144</v>
      </c>
      <c r="DR16">
        <v>2.7253668763102725E-2</v>
      </c>
      <c r="DS16">
        <v>2.8756957328385901E-2</v>
      </c>
      <c r="DT16">
        <v>13</v>
      </c>
      <c r="DU16">
        <v>31</v>
      </c>
      <c r="DV16">
        <v>8.8050314465408799E-2</v>
      </c>
      <c r="DW16">
        <v>6.4007421150278299E-2</v>
      </c>
      <c r="DX16">
        <v>42</v>
      </c>
      <c r="DY16">
        <v>69</v>
      </c>
      <c r="DZ16">
        <v>0.11740041928721175</v>
      </c>
      <c r="EA16">
        <v>0.1038961038961039</v>
      </c>
      <c r="EB16">
        <v>56</v>
      </c>
      <c r="EC16">
        <v>112</v>
      </c>
      <c r="ED16">
        <v>0.41090146750524109</v>
      </c>
      <c r="EE16">
        <v>0.44434137291280146</v>
      </c>
      <c r="EF16">
        <v>196</v>
      </c>
      <c r="EG16">
        <v>479</v>
      </c>
      <c r="EH16">
        <v>5.4507337526205513E-2</v>
      </c>
      <c r="EI16">
        <v>7.4211502782931316E-2</v>
      </c>
      <c r="EJ16">
        <v>26.000000000000028</v>
      </c>
      <c r="EK16">
        <v>79.999999999999957</v>
      </c>
      <c r="EL16">
        <v>0</v>
      </c>
      <c r="EM16">
        <v>9.5547309833024119E-2</v>
      </c>
      <c r="EN16">
        <v>0</v>
      </c>
      <c r="EO16">
        <v>103</v>
      </c>
      <c r="EP16">
        <v>4.1928721174004195E-3</v>
      </c>
      <c r="EQ16">
        <v>8.1632653061224483E-2</v>
      </c>
      <c r="ER16">
        <v>2</v>
      </c>
      <c r="ES16">
        <v>88</v>
      </c>
      <c r="ET16">
        <v>0.98113207547169812</v>
      </c>
      <c r="EU16">
        <v>0.50371057513914652</v>
      </c>
      <c r="EV16">
        <v>468</v>
      </c>
      <c r="EW16">
        <v>543</v>
      </c>
      <c r="EX16">
        <v>0</v>
      </c>
      <c r="EY16">
        <v>4.6382189239332093E-2</v>
      </c>
      <c r="EZ16">
        <v>0</v>
      </c>
      <c r="FA16">
        <v>50</v>
      </c>
      <c r="FB16">
        <v>0</v>
      </c>
      <c r="FC16">
        <v>6.5862708719851573E-2</v>
      </c>
      <c r="FD16">
        <v>0</v>
      </c>
      <c r="FE16">
        <v>71</v>
      </c>
      <c r="FF16">
        <v>2.0964360587002098E-3</v>
      </c>
      <c r="FG16">
        <v>0.14935064935064934</v>
      </c>
      <c r="FH16">
        <v>1</v>
      </c>
      <c r="FI16">
        <v>161</v>
      </c>
      <c r="FJ16">
        <v>1.2578616352201259E-2</v>
      </c>
      <c r="FK16">
        <v>5.7513914656771803E-2</v>
      </c>
      <c r="FL16">
        <v>6</v>
      </c>
      <c r="FM16">
        <v>62</v>
      </c>
      <c r="FN16">
        <v>88</v>
      </c>
      <c r="FO16">
        <v>254</v>
      </c>
      <c r="FP16">
        <v>88</v>
      </c>
      <c r="FQ16">
        <v>254</v>
      </c>
      <c r="FR16">
        <v>0</v>
      </c>
      <c r="FS16">
        <v>7.874015748031496E-2</v>
      </c>
      <c r="FT16">
        <v>0</v>
      </c>
      <c r="FU16">
        <v>20</v>
      </c>
      <c r="FV16">
        <v>0</v>
      </c>
      <c r="FW16">
        <v>0</v>
      </c>
      <c r="FX16">
        <v>0</v>
      </c>
      <c r="FY16">
        <v>0</v>
      </c>
      <c r="FZ16">
        <v>1</v>
      </c>
      <c r="GA16">
        <v>0.48031496062992124</v>
      </c>
      <c r="GB16">
        <v>88</v>
      </c>
      <c r="GC16">
        <v>122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5.1181102362204724E-2</v>
      </c>
      <c r="GJ16">
        <v>0</v>
      </c>
      <c r="GK16">
        <v>13</v>
      </c>
      <c r="GL16">
        <v>0</v>
      </c>
      <c r="GM16">
        <v>0.29527559055118108</v>
      </c>
      <c r="GN16">
        <v>0</v>
      </c>
      <c r="GO16">
        <v>75</v>
      </c>
      <c r="GP16">
        <v>0</v>
      </c>
      <c r="GQ16">
        <v>9.4488188976377951E-2</v>
      </c>
      <c r="GR16">
        <v>0</v>
      </c>
      <c r="GS16">
        <v>24</v>
      </c>
      <c r="GT16">
        <v>3.7735849056603772E-2</v>
      </c>
      <c r="GU16">
        <v>3.7105751391465679E-2</v>
      </c>
      <c r="GV16">
        <v>18</v>
      </c>
      <c r="GW16">
        <v>40</v>
      </c>
      <c r="GX16">
        <v>6.9182389937106917E-2</v>
      </c>
      <c r="GY16">
        <v>7.2356215213358069E-2</v>
      </c>
      <c r="GZ16">
        <v>33</v>
      </c>
      <c r="HA16">
        <v>78</v>
      </c>
      <c r="HB16">
        <v>0</v>
      </c>
      <c r="HC16">
        <v>9.2764378478664194E-4</v>
      </c>
      <c r="HD16">
        <v>0</v>
      </c>
      <c r="HE16">
        <v>1</v>
      </c>
      <c r="HF16">
        <v>2.0964360587002098E-3</v>
      </c>
      <c r="HG16">
        <v>9.2764378478664194E-4</v>
      </c>
      <c r="HH16">
        <v>1</v>
      </c>
      <c r="HI16">
        <v>1</v>
      </c>
      <c r="HJ16">
        <v>0</v>
      </c>
      <c r="HK16">
        <v>0</v>
      </c>
      <c r="HL16">
        <v>0</v>
      </c>
      <c r="HM16">
        <v>0</v>
      </c>
      <c r="HN16">
        <v>2.0964360587002098E-3</v>
      </c>
      <c r="HO16">
        <v>0</v>
      </c>
      <c r="HP16">
        <v>1</v>
      </c>
      <c r="HQ16">
        <v>0</v>
      </c>
      <c r="HR16">
        <v>0.8029350104821803</v>
      </c>
      <c r="HS16">
        <v>0.81168831168831168</v>
      </c>
      <c r="HT16">
        <v>383</v>
      </c>
      <c r="HU16">
        <v>875</v>
      </c>
      <c r="HV16">
        <v>8.8050314465408799E-2</v>
      </c>
      <c r="HW16">
        <v>7.6994434137291276E-2</v>
      </c>
      <c r="HX16">
        <v>42</v>
      </c>
      <c r="HY16">
        <v>83</v>
      </c>
      <c r="HZ16">
        <v>0.52142857142857146</v>
      </c>
      <c r="IA16">
        <v>0.4921875</v>
      </c>
      <c r="IB16">
        <v>73</v>
      </c>
      <c r="IC16">
        <v>189</v>
      </c>
      <c r="ID16">
        <v>0.24285714285714285</v>
      </c>
      <c r="IE16">
        <v>0.16927083333333334</v>
      </c>
      <c r="IF16">
        <v>34</v>
      </c>
      <c r="IG16">
        <v>65</v>
      </c>
      <c r="IH16">
        <v>2.8571428571428571E-2</v>
      </c>
      <c r="II16">
        <v>5.46875E-2</v>
      </c>
      <c r="IJ16">
        <v>4</v>
      </c>
      <c r="IK16">
        <v>21</v>
      </c>
      <c r="IL16">
        <v>4.2857142857142858E-2</v>
      </c>
      <c r="IM16">
        <v>4.9479166666666664E-2</v>
      </c>
      <c r="IN16">
        <v>6</v>
      </c>
      <c r="IO16">
        <v>19</v>
      </c>
      <c r="IP16">
        <v>0.16428571428571428</v>
      </c>
      <c r="IQ16">
        <v>0.234375</v>
      </c>
      <c r="IR16">
        <v>23</v>
      </c>
      <c r="IS16">
        <v>90</v>
      </c>
      <c r="IT16">
        <v>75.916666666666671</v>
      </c>
      <c r="IU16">
        <v>73.793893129770993</v>
      </c>
      <c r="IV16">
        <v>0.62962962962962965</v>
      </c>
      <c r="IW16">
        <v>0.58778625954198471</v>
      </c>
      <c r="IX16">
        <v>68</v>
      </c>
      <c r="IY16">
        <v>154</v>
      </c>
      <c r="IZ16">
        <v>0.18518518518518517</v>
      </c>
      <c r="JA16">
        <v>0.14503816793893129</v>
      </c>
      <c r="JB16">
        <v>20</v>
      </c>
      <c r="JC16">
        <v>38</v>
      </c>
      <c r="JD16">
        <v>3.7037037037037035E-2</v>
      </c>
      <c r="JE16">
        <v>5.7251908396946563E-2</v>
      </c>
      <c r="JF16">
        <v>4</v>
      </c>
      <c r="JG16">
        <v>15</v>
      </c>
      <c r="JH16">
        <v>2.7777777777777776E-2</v>
      </c>
      <c r="JI16">
        <v>3.8167938931297711E-2</v>
      </c>
      <c r="JJ16">
        <v>3</v>
      </c>
      <c r="JK16">
        <v>10</v>
      </c>
      <c r="JL16">
        <v>0.12037037037037036</v>
      </c>
      <c r="JM16">
        <v>0.1717557251908397</v>
      </c>
      <c r="JN16">
        <v>13</v>
      </c>
      <c r="JO16">
        <v>45</v>
      </c>
      <c r="JP16">
        <v>4.3478260869565216E-2</v>
      </c>
      <c r="JQ16">
        <v>5.6338028169014086E-2</v>
      </c>
      <c r="JR16">
        <v>1</v>
      </c>
      <c r="JS16">
        <v>4</v>
      </c>
      <c r="JT16">
        <v>0.73913043478260865</v>
      </c>
      <c r="JU16">
        <v>0.647887323943662</v>
      </c>
      <c r="JV16">
        <v>17</v>
      </c>
      <c r="JW16">
        <v>46</v>
      </c>
      <c r="JX16">
        <v>8.6956521739130432E-2</v>
      </c>
      <c r="JY16">
        <v>0.12676056338028169</v>
      </c>
      <c r="JZ16">
        <v>2</v>
      </c>
      <c r="KA16">
        <v>9</v>
      </c>
      <c r="KB16">
        <v>0</v>
      </c>
      <c r="KC16">
        <v>7.0422535211267609E-2</v>
      </c>
      <c r="KD16">
        <v>0</v>
      </c>
      <c r="KE16">
        <v>5</v>
      </c>
      <c r="KF16">
        <v>0.13043478260869579</v>
      </c>
      <c r="KG16">
        <v>9.8591549295774628E-2</v>
      </c>
      <c r="KH16">
        <v>3</v>
      </c>
      <c r="KI16">
        <v>7</v>
      </c>
      <c r="KJ16">
        <v>0.30434782608695654</v>
      </c>
      <c r="KK16">
        <v>0.21126760563380281</v>
      </c>
      <c r="KL16">
        <v>7</v>
      </c>
      <c r="KM16">
        <v>15</v>
      </c>
      <c r="KN16">
        <v>8.6956521739130432E-2</v>
      </c>
      <c r="KO16">
        <v>0.14084507042253522</v>
      </c>
      <c r="KP16">
        <v>2</v>
      </c>
      <c r="KQ16">
        <v>10</v>
      </c>
      <c r="KR16">
        <v>0.17391304347826086</v>
      </c>
      <c r="KS16">
        <v>0.19718309859154928</v>
      </c>
      <c r="KT16">
        <v>4</v>
      </c>
      <c r="KU16">
        <v>14</v>
      </c>
      <c r="KV16">
        <v>4.3478260869565216E-2</v>
      </c>
      <c r="KW16">
        <v>5.6338028169014086E-2</v>
      </c>
      <c r="KX16">
        <v>1</v>
      </c>
      <c r="KY16">
        <v>4</v>
      </c>
      <c r="KZ16">
        <v>0.39130434782608692</v>
      </c>
      <c r="LA16">
        <v>0.39436619718309862</v>
      </c>
      <c r="LB16">
        <v>9</v>
      </c>
      <c r="LC16">
        <v>28</v>
      </c>
      <c r="LD16">
        <v>0.41928721174004191</v>
      </c>
      <c r="LE16">
        <v>0.38993710691823902</v>
      </c>
      <c r="LF16">
        <v>1.0482180293501049E-2</v>
      </c>
      <c r="LG16">
        <v>1.8867924528301827E-2</v>
      </c>
      <c r="LH16">
        <v>0.41651205936920221</v>
      </c>
      <c r="LI16">
        <v>0.3784786641929499</v>
      </c>
      <c r="LJ16">
        <v>1.1131725417439703E-2</v>
      </c>
      <c r="LK16">
        <v>2.6901669758812585E-2</v>
      </c>
    </row>
    <row r="17" spans="1:323" x14ac:dyDescent="0.25">
      <c r="A17" t="s">
        <v>13</v>
      </c>
      <c r="B17" t="s">
        <v>59</v>
      </c>
      <c r="C17" t="s">
        <v>167</v>
      </c>
      <c r="D17">
        <v>1.2572533849129593E-2</v>
      </c>
      <c r="E17">
        <v>6.5764023210831718E-2</v>
      </c>
      <c r="F17">
        <v>0.22243713733075435</v>
      </c>
      <c r="G17">
        <v>0.46131528046421666</v>
      </c>
      <c r="H17">
        <v>0.23791102514506771</v>
      </c>
      <c r="I17">
        <v>1.1579818031430935E-2</v>
      </c>
      <c r="J17">
        <v>6.1621174524400329E-2</v>
      </c>
      <c r="K17">
        <v>0.21464019851116625</v>
      </c>
      <c r="L17">
        <v>0.44582299421009097</v>
      </c>
      <c r="M17">
        <v>0.26633581472291151</v>
      </c>
      <c r="N17">
        <v>0.67073170731707321</v>
      </c>
      <c r="O17">
        <v>0.32926829268292679</v>
      </c>
      <c r="P17">
        <v>0.7003105590062112</v>
      </c>
      <c r="Q17">
        <v>0.2996894409937888</v>
      </c>
      <c r="R17">
        <v>246</v>
      </c>
      <c r="S17">
        <v>80.825203252032523</v>
      </c>
      <c r="T17">
        <v>55</v>
      </c>
      <c r="U17">
        <v>6.1300813008130079</v>
      </c>
      <c r="V17">
        <v>2.9959349593495936</v>
      </c>
      <c r="W17">
        <v>32.422764227642276</v>
      </c>
      <c r="X17">
        <v>644</v>
      </c>
      <c r="Y17">
        <v>80.83229813664596</v>
      </c>
      <c r="Z17">
        <v>136</v>
      </c>
      <c r="AA17">
        <v>6.2204968944099379</v>
      </c>
      <c r="AB17">
        <v>3.0077639751552794</v>
      </c>
      <c r="AC17">
        <v>25.451863354037268</v>
      </c>
      <c r="AD17">
        <v>0.60123456790123453</v>
      </c>
      <c r="AE17">
        <v>0.68690095846645371</v>
      </c>
      <c r="AF17">
        <v>487</v>
      </c>
      <c r="AG17">
        <v>1505</v>
      </c>
      <c r="AH17">
        <v>0.36790123456790125</v>
      </c>
      <c r="AI17">
        <v>0.25011410314924692</v>
      </c>
      <c r="AJ17">
        <v>298</v>
      </c>
      <c r="AK17">
        <v>548</v>
      </c>
      <c r="AL17">
        <v>2.5925925925925925E-2</v>
      </c>
      <c r="AM17">
        <v>2.4189867640346873E-2</v>
      </c>
      <c r="AN17">
        <v>21</v>
      </c>
      <c r="AO17">
        <v>53</v>
      </c>
      <c r="AP17">
        <v>4.9382716049382715E-3</v>
      </c>
      <c r="AQ17">
        <v>3.8795070743952532E-2</v>
      </c>
      <c r="AR17">
        <v>4</v>
      </c>
      <c r="AS17">
        <v>85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0.31707317073170732</v>
      </c>
      <c r="BC17">
        <v>7.2682926829268295</v>
      </c>
      <c r="BD17">
        <v>6.097560975609756E-2</v>
      </c>
      <c r="BE17">
        <v>2.3699186991869921</v>
      </c>
      <c r="BF17">
        <v>0</v>
      </c>
      <c r="BG17" s="116" t="s">
        <v>187</v>
      </c>
      <c r="BH17">
        <v>0.34937888198757766</v>
      </c>
      <c r="BI17">
        <v>8.9145962732919255</v>
      </c>
      <c r="BJ17">
        <v>6.8322981366459631E-2</v>
      </c>
      <c r="BK17">
        <v>2.4798136645962732</v>
      </c>
      <c r="BL17">
        <v>4.658385093167702E-3</v>
      </c>
      <c r="BM17">
        <v>0.12111801242236025</v>
      </c>
      <c r="BN17">
        <v>0.10176390773405698</v>
      </c>
      <c r="BO17">
        <v>9.2927207021166747E-2</v>
      </c>
      <c r="BP17">
        <v>75</v>
      </c>
      <c r="BQ17">
        <v>180</v>
      </c>
      <c r="BR17">
        <v>0.27272727272727271</v>
      </c>
      <c r="BS17">
        <v>0.27826535880227155</v>
      </c>
      <c r="BT17">
        <v>201</v>
      </c>
      <c r="BU17">
        <v>539</v>
      </c>
      <c r="BV17">
        <v>8.819538670284939E-2</v>
      </c>
      <c r="BW17">
        <v>7.7955601445534331E-2</v>
      </c>
      <c r="BX17">
        <v>65</v>
      </c>
      <c r="BY17">
        <v>151</v>
      </c>
      <c r="BZ17">
        <v>4.3419267299864311E-2</v>
      </c>
      <c r="CA17">
        <v>4.4914816726897261E-2</v>
      </c>
      <c r="CB17">
        <v>32</v>
      </c>
      <c r="CC17">
        <v>87</v>
      </c>
      <c r="CD17">
        <v>3.1207598371777476E-2</v>
      </c>
      <c r="CE17">
        <v>4.2849767681982447E-2</v>
      </c>
      <c r="CF17">
        <v>23</v>
      </c>
      <c r="CG17">
        <v>83</v>
      </c>
      <c r="CH17">
        <v>4.4776119402985072E-2</v>
      </c>
      <c r="CI17">
        <v>3.4589571502323183E-2</v>
      </c>
      <c r="CJ17">
        <v>33</v>
      </c>
      <c r="CK17">
        <v>67</v>
      </c>
      <c r="CL17">
        <v>0</v>
      </c>
      <c r="CM17">
        <v>0</v>
      </c>
      <c r="CN17">
        <v>0</v>
      </c>
      <c r="CO17">
        <v>0</v>
      </c>
      <c r="CP17">
        <v>2.7137042062415198E-2</v>
      </c>
      <c r="CQ17">
        <v>3.7170882808466699E-2</v>
      </c>
      <c r="CR17">
        <v>20</v>
      </c>
      <c r="CS17">
        <v>72</v>
      </c>
      <c r="CT17">
        <v>5.563093622795115E-2</v>
      </c>
      <c r="CU17">
        <v>5.7305110996386167E-2</v>
      </c>
      <c r="CV17">
        <v>41</v>
      </c>
      <c r="CW17">
        <v>111</v>
      </c>
      <c r="CX17">
        <v>0.30393487109905021</v>
      </c>
      <c r="CY17">
        <v>0.31078988125967993</v>
      </c>
      <c r="CZ17">
        <v>224</v>
      </c>
      <c r="DA17">
        <v>602</v>
      </c>
      <c r="DB17">
        <v>3.1207598371777667E-2</v>
      </c>
      <c r="DC17">
        <v>2.3231801755291714E-2</v>
      </c>
      <c r="DD17">
        <v>23.000000000000142</v>
      </c>
      <c r="DE17">
        <v>55.200000000000344</v>
      </c>
      <c r="DF17">
        <v>4.065040650406504E-2</v>
      </c>
      <c r="DG17">
        <v>6.9875776397515521E-2</v>
      </c>
      <c r="DH17">
        <v>10</v>
      </c>
      <c r="DI17">
        <v>45</v>
      </c>
      <c r="DJ17">
        <v>2.032520325203252E-2</v>
      </c>
      <c r="DK17">
        <v>2.4844720496894408E-2</v>
      </c>
      <c r="DL17">
        <v>5</v>
      </c>
      <c r="DM17">
        <v>16</v>
      </c>
      <c r="DN17">
        <v>0.12195121951219512</v>
      </c>
      <c r="DO17">
        <v>9.3167701863354033E-2</v>
      </c>
      <c r="DP17">
        <v>30</v>
      </c>
      <c r="DQ17">
        <v>60</v>
      </c>
      <c r="DR17">
        <v>6.5040650406504072E-2</v>
      </c>
      <c r="DS17">
        <v>5.5900621118012424E-2</v>
      </c>
      <c r="DT17">
        <v>16</v>
      </c>
      <c r="DU17">
        <v>36</v>
      </c>
      <c r="DV17">
        <v>3.2520325203252036E-2</v>
      </c>
      <c r="DW17">
        <v>3.1055900621118012E-2</v>
      </c>
      <c r="DX17">
        <v>8</v>
      </c>
      <c r="DY17">
        <v>20</v>
      </c>
      <c r="DZ17">
        <v>0.10569105691056911</v>
      </c>
      <c r="EA17">
        <v>7.2981366459627328E-2</v>
      </c>
      <c r="EB17">
        <v>26</v>
      </c>
      <c r="EC17">
        <v>47</v>
      </c>
      <c r="ED17">
        <v>0.56504065040650409</v>
      </c>
      <c r="EE17">
        <v>0.59472049689440998</v>
      </c>
      <c r="EF17">
        <v>139</v>
      </c>
      <c r="EG17">
        <v>383</v>
      </c>
      <c r="EH17">
        <v>4.8780487804877981E-2</v>
      </c>
      <c r="EI17">
        <v>5.7453416149068293E-2</v>
      </c>
      <c r="EJ17">
        <v>11.999999999999984</v>
      </c>
      <c r="EK17">
        <v>36.999999999999986</v>
      </c>
      <c r="EL17">
        <v>0</v>
      </c>
      <c r="EM17">
        <v>0.11801242236024845</v>
      </c>
      <c r="EN17">
        <v>0</v>
      </c>
      <c r="EO17">
        <v>76</v>
      </c>
      <c r="EP17">
        <v>0</v>
      </c>
      <c r="EQ17">
        <v>7.1428571428571425E-2</v>
      </c>
      <c r="ER17">
        <v>0</v>
      </c>
      <c r="ES17">
        <v>46</v>
      </c>
      <c r="ET17">
        <v>0.98780487804878048</v>
      </c>
      <c r="EU17">
        <v>0.41770186335403725</v>
      </c>
      <c r="EV17">
        <v>243</v>
      </c>
      <c r="EW17">
        <v>269</v>
      </c>
      <c r="EX17">
        <v>0</v>
      </c>
      <c r="EY17">
        <v>5.434782608695652E-2</v>
      </c>
      <c r="EZ17">
        <v>0</v>
      </c>
      <c r="FA17">
        <v>35</v>
      </c>
      <c r="FB17">
        <v>0</v>
      </c>
      <c r="FC17">
        <v>0.10869565217391304</v>
      </c>
      <c r="FD17">
        <v>0</v>
      </c>
      <c r="FE17">
        <v>70</v>
      </c>
      <c r="FF17">
        <v>0</v>
      </c>
      <c r="FG17">
        <v>0.18012422360248448</v>
      </c>
      <c r="FH17">
        <v>0</v>
      </c>
      <c r="FI17">
        <v>116</v>
      </c>
      <c r="FJ17">
        <v>1.2195121951219513E-2</v>
      </c>
      <c r="FK17">
        <v>4.9689440993788817E-2</v>
      </c>
      <c r="FL17">
        <v>3</v>
      </c>
      <c r="FM17">
        <v>32</v>
      </c>
      <c r="FN17">
        <v>23</v>
      </c>
      <c r="FO17">
        <v>83</v>
      </c>
      <c r="FP17">
        <v>23</v>
      </c>
      <c r="FQ17">
        <v>83</v>
      </c>
      <c r="FR17">
        <v>0</v>
      </c>
      <c r="FS17">
        <v>0.13253012048192772</v>
      </c>
      <c r="FT17">
        <v>0</v>
      </c>
      <c r="FU17">
        <v>11</v>
      </c>
      <c r="FV17">
        <v>0</v>
      </c>
      <c r="FW17">
        <v>0</v>
      </c>
      <c r="FX17">
        <v>0</v>
      </c>
      <c r="FY17">
        <v>0</v>
      </c>
      <c r="FZ17">
        <v>0.95652173913043481</v>
      </c>
      <c r="GA17">
        <v>0.31325301204819278</v>
      </c>
      <c r="GB17">
        <v>22</v>
      </c>
      <c r="GC17">
        <v>26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0.13253012048192772</v>
      </c>
      <c r="GJ17">
        <v>0</v>
      </c>
      <c r="GK17">
        <v>11</v>
      </c>
      <c r="GL17">
        <v>4.3478260869565216E-2</v>
      </c>
      <c r="GM17">
        <v>0.3253012048192771</v>
      </c>
      <c r="GN17">
        <v>1</v>
      </c>
      <c r="GO17">
        <v>27</v>
      </c>
      <c r="GP17">
        <v>0</v>
      </c>
      <c r="GQ17">
        <v>9.6385542168674704E-2</v>
      </c>
      <c r="GR17">
        <v>0</v>
      </c>
      <c r="GS17">
        <v>8</v>
      </c>
      <c r="GT17">
        <v>6.5040650406504072E-2</v>
      </c>
      <c r="GU17">
        <v>4.9689440993788817E-2</v>
      </c>
      <c r="GV17">
        <v>16</v>
      </c>
      <c r="GW17">
        <v>32</v>
      </c>
      <c r="GX17">
        <v>4.4715447154471545E-2</v>
      </c>
      <c r="GY17">
        <v>8.2298136645962736E-2</v>
      </c>
      <c r="GZ17">
        <v>11</v>
      </c>
      <c r="HA17">
        <v>53</v>
      </c>
      <c r="HB17">
        <v>0</v>
      </c>
      <c r="HC17">
        <v>1.5527950310559005E-3</v>
      </c>
      <c r="HD17">
        <v>0</v>
      </c>
      <c r="HE17">
        <v>1</v>
      </c>
      <c r="HF17">
        <v>0</v>
      </c>
      <c r="HG17">
        <v>0</v>
      </c>
      <c r="HH17">
        <v>0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4.0650406504065045E-3</v>
      </c>
      <c r="HO17">
        <v>0</v>
      </c>
      <c r="HP17">
        <v>1</v>
      </c>
      <c r="HQ17">
        <v>0</v>
      </c>
      <c r="HR17">
        <v>0.73983739837398377</v>
      </c>
      <c r="HS17">
        <v>0.72981366459627328</v>
      </c>
      <c r="HT17">
        <v>182</v>
      </c>
      <c r="HU17">
        <v>470</v>
      </c>
      <c r="HV17">
        <v>0.15040650406504066</v>
      </c>
      <c r="HW17">
        <v>0.13664596273291926</v>
      </c>
      <c r="HX17">
        <v>37</v>
      </c>
      <c r="HY17">
        <v>88</v>
      </c>
      <c r="HZ17">
        <v>0.27500000000000002</v>
      </c>
      <c r="IA17">
        <v>0.32773109243697479</v>
      </c>
      <c r="IB17">
        <v>22</v>
      </c>
      <c r="IC17">
        <v>78</v>
      </c>
      <c r="ID17">
        <v>0.3</v>
      </c>
      <c r="IE17">
        <v>0.32773109243697479</v>
      </c>
      <c r="IF17">
        <v>24</v>
      </c>
      <c r="IG17">
        <v>78</v>
      </c>
      <c r="IH17">
        <v>0.16250000000000001</v>
      </c>
      <c r="II17">
        <v>7.9831932773109238E-2</v>
      </c>
      <c r="IJ17">
        <v>13</v>
      </c>
      <c r="IK17">
        <v>19</v>
      </c>
      <c r="IL17">
        <v>2.5000000000000001E-2</v>
      </c>
      <c r="IM17">
        <v>2.5210084033613446E-2</v>
      </c>
      <c r="IN17">
        <v>2</v>
      </c>
      <c r="IO17">
        <v>6</v>
      </c>
      <c r="IP17">
        <v>0.23749999999999999</v>
      </c>
      <c r="IQ17">
        <v>0.23949579831932774</v>
      </c>
      <c r="IR17">
        <v>19</v>
      </c>
      <c r="IS17">
        <v>57</v>
      </c>
      <c r="IT17">
        <v>92.57692307692308</v>
      </c>
      <c r="IU17">
        <v>77.970059880239518</v>
      </c>
      <c r="IV17">
        <v>0.30769230769230771</v>
      </c>
      <c r="IW17">
        <v>0.3652694610778443</v>
      </c>
      <c r="IX17">
        <v>16</v>
      </c>
      <c r="IY17">
        <v>61</v>
      </c>
      <c r="IZ17">
        <v>0.30769230769230771</v>
      </c>
      <c r="JA17">
        <v>0.33532934131736525</v>
      </c>
      <c r="JB17">
        <v>16</v>
      </c>
      <c r="JC17">
        <v>56</v>
      </c>
      <c r="JD17">
        <v>9.6153846153846159E-2</v>
      </c>
      <c r="JE17">
        <v>4.790419161676647E-2</v>
      </c>
      <c r="JF17">
        <v>5</v>
      </c>
      <c r="JG17">
        <v>8</v>
      </c>
      <c r="JH17">
        <v>3.8461538461538464E-2</v>
      </c>
      <c r="JI17">
        <v>2.9940119760479042E-2</v>
      </c>
      <c r="JJ17">
        <v>2</v>
      </c>
      <c r="JK17">
        <v>5</v>
      </c>
      <c r="JL17">
        <v>0.25</v>
      </c>
      <c r="JM17">
        <v>0.22155688622754491</v>
      </c>
      <c r="JN17">
        <v>13</v>
      </c>
      <c r="JO17">
        <v>37</v>
      </c>
      <c r="JP17">
        <v>0</v>
      </c>
      <c r="JQ17">
        <v>2.2727272727272728E-2</v>
      </c>
      <c r="JR17">
        <v>0</v>
      </c>
      <c r="JS17">
        <v>1</v>
      </c>
      <c r="JT17">
        <v>0.73333333333333328</v>
      </c>
      <c r="JU17">
        <v>0.75</v>
      </c>
      <c r="JV17">
        <v>11</v>
      </c>
      <c r="JW17">
        <v>33</v>
      </c>
      <c r="JX17">
        <v>0.13333333333333333</v>
      </c>
      <c r="JY17">
        <v>4.5454545454545456E-2</v>
      </c>
      <c r="JZ17">
        <v>2</v>
      </c>
      <c r="KA17">
        <v>2</v>
      </c>
      <c r="KB17">
        <v>0</v>
      </c>
      <c r="KC17">
        <v>0</v>
      </c>
      <c r="KD17">
        <v>0</v>
      </c>
      <c r="KE17">
        <v>0</v>
      </c>
      <c r="KF17">
        <v>0.13333333333333341</v>
      </c>
      <c r="KG17">
        <v>0.18181818181818188</v>
      </c>
      <c r="KH17">
        <v>2</v>
      </c>
      <c r="KI17">
        <v>8</v>
      </c>
      <c r="KJ17">
        <v>6.6666666666666666E-2</v>
      </c>
      <c r="KK17">
        <v>4.5454545454545456E-2</v>
      </c>
      <c r="KL17">
        <v>1</v>
      </c>
      <c r="KM17">
        <v>2</v>
      </c>
      <c r="KN17">
        <v>6.6666666666666666E-2</v>
      </c>
      <c r="KO17">
        <v>0.13636363636363635</v>
      </c>
      <c r="KP17">
        <v>1</v>
      </c>
      <c r="KQ17">
        <v>6</v>
      </c>
      <c r="KR17">
        <v>6.6666666666666666E-2</v>
      </c>
      <c r="KS17">
        <v>9.0909090909090912E-2</v>
      </c>
      <c r="KT17">
        <v>1</v>
      </c>
      <c r="KU17">
        <v>4</v>
      </c>
      <c r="KV17">
        <v>0.13333333333333333</v>
      </c>
      <c r="KW17">
        <v>9.0909090909090912E-2</v>
      </c>
      <c r="KX17">
        <v>2</v>
      </c>
      <c r="KY17">
        <v>4</v>
      </c>
      <c r="KZ17">
        <v>0.66666666666666663</v>
      </c>
      <c r="LA17">
        <v>0.63636363636363635</v>
      </c>
      <c r="LB17">
        <v>10</v>
      </c>
      <c r="LC17">
        <v>28</v>
      </c>
      <c r="LD17">
        <v>0.56910569105691056</v>
      </c>
      <c r="LE17">
        <v>0.51626016260162599</v>
      </c>
      <c r="LF17">
        <v>1.2195121951219513E-2</v>
      </c>
      <c r="LG17">
        <v>4.065040650406504E-2</v>
      </c>
      <c r="LH17">
        <v>0.53881987577639756</v>
      </c>
      <c r="LI17">
        <v>0.44720496894409939</v>
      </c>
      <c r="LJ17">
        <v>2.0186335403726708E-2</v>
      </c>
      <c r="LK17">
        <v>7.1428571428571452E-2</v>
      </c>
    </row>
    <row r="18" spans="1:323" x14ac:dyDescent="0.25">
      <c r="A18" t="s">
        <v>13</v>
      </c>
      <c r="B18" t="s">
        <v>96</v>
      </c>
      <c r="C18" t="s">
        <v>168</v>
      </c>
      <c r="D18">
        <v>1.2572533849129593E-2</v>
      </c>
      <c r="E18">
        <v>6.5764023210831718E-2</v>
      </c>
      <c r="F18">
        <v>0.22243713733075435</v>
      </c>
      <c r="G18">
        <v>0.46131528046421666</v>
      </c>
      <c r="H18">
        <v>0.23791102514506771</v>
      </c>
      <c r="I18">
        <v>1.1579818031430935E-2</v>
      </c>
      <c r="J18">
        <v>6.1621174524400329E-2</v>
      </c>
      <c r="K18">
        <v>0.21464019851116625</v>
      </c>
      <c r="L18">
        <v>0.44582299421009097</v>
      </c>
      <c r="M18">
        <v>0.26633581472291151</v>
      </c>
      <c r="N18">
        <v>0.69729206963249513</v>
      </c>
      <c r="O18">
        <v>0.30270793036750487</v>
      </c>
      <c r="P18">
        <v>0.70471464019851116</v>
      </c>
      <c r="Q18">
        <v>0.29528535980148884</v>
      </c>
      <c r="R18">
        <v>1034</v>
      </c>
      <c r="S18">
        <v>65.500967117988395</v>
      </c>
      <c r="T18">
        <v>134</v>
      </c>
      <c r="U18">
        <v>11.129593810444874</v>
      </c>
      <c r="V18">
        <v>4.0280464216634426</v>
      </c>
      <c r="W18">
        <v>41.47001934235977</v>
      </c>
      <c r="X18">
        <v>2418</v>
      </c>
      <c r="Y18">
        <v>66.236559139784944</v>
      </c>
      <c r="Z18">
        <v>308</v>
      </c>
      <c r="AA18">
        <v>10.480562448304385</v>
      </c>
      <c r="AB18">
        <v>3.9582299421009099</v>
      </c>
      <c r="AC18">
        <v>32.586848635235732</v>
      </c>
      <c r="AD18">
        <v>0.43091525423728816</v>
      </c>
      <c r="AE18">
        <v>0.57145574435708846</v>
      </c>
      <c r="AF18">
        <v>3178</v>
      </c>
      <c r="AG18">
        <v>9013</v>
      </c>
      <c r="AH18">
        <v>0.54603389830508475</v>
      </c>
      <c r="AI18">
        <v>0.40077352269845296</v>
      </c>
      <c r="AJ18">
        <v>4027</v>
      </c>
      <c r="AK18">
        <v>6321</v>
      </c>
      <c r="AL18">
        <v>1.8847457627118643E-2</v>
      </c>
      <c r="AM18">
        <v>1.8133400963733198E-2</v>
      </c>
      <c r="AN18">
        <v>139</v>
      </c>
      <c r="AO18">
        <v>286</v>
      </c>
      <c r="AP18">
        <v>3.5254237288135592E-3</v>
      </c>
      <c r="AQ18">
        <v>7.101191985797616E-3</v>
      </c>
      <c r="AR18">
        <v>26</v>
      </c>
      <c r="AS18">
        <v>112</v>
      </c>
      <c r="AT18">
        <v>6.779661016949153E-4</v>
      </c>
      <c r="AU18">
        <v>2.4093329951813342E-3</v>
      </c>
      <c r="AV18">
        <v>5</v>
      </c>
      <c r="AW18">
        <v>38</v>
      </c>
      <c r="AX18">
        <v>0</v>
      </c>
      <c r="AY18">
        <v>6.3403499873192998E-5</v>
      </c>
      <c r="AZ18">
        <v>0</v>
      </c>
      <c r="BA18">
        <v>1</v>
      </c>
      <c r="BB18">
        <v>0.29690522243713735</v>
      </c>
      <c r="BC18">
        <v>6.0048355899419725</v>
      </c>
      <c r="BD18">
        <v>4.8355899419729204E-2</v>
      </c>
      <c r="BE18">
        <v>1.2785299806576402</v>
      </c>
      <c r="BF18">
        <v>9.6711798839458415E-4</v>
      </c>
      <c r="BG18">
        <v>2.0309477756286266E-2</v>
      </c>
      <c r="BH18">
        <v>0.33457402812241521</v>
      </c>
      <c r="BI18">
        <v>8.0897435897435894</v>
      </c>
      <c r="BJ18">
        <v>6.3275434243176179E-2</v>
      </c>
      <c r="BK18">
        <v>1.6683209263854426</v>
      </c>
      <c r="BL18">
        <v>6.2034739454094297E-3</v>
      </c>
      <c r="BM18">
        <v>0.13399503722084366</v>
      </c>
      <c r="BN18">
        <v>0.21800720288115247</v>
      </c>
      <c r="BO18">
        <v>0.20071047957371227</v>
      </c>
      <c r="BP18">
        <v>908</v>
      </c>
      <c r="BQ18">
        <v>1921</v>
      </c>
      <c r="BR18">
        <v>0.18535414165666267</v>
      </c>
      <c r="BS18">
        <v>0.19276982551457528</v>
      </c>
      <c r="BT18">
        <v>772</v>
      </c>
      <c r="BU18">
        <v>1845</v>
      </c>
      <c r="BV18">
        <v>6.2905162064825937E-2</v>
      </c>
      <c r="BW18">
        <v>6.0913175216800751E-2</v>
      </c>
      <c r="BX18">
        <v>262</v>
      </c>
      <c r="BY18">
        <v>583</v>
      </c>
      <c r="BZ18">
        <v>6.266506602641056E-2</v>
      </c>
      <c r="CA18">
        <v>5.9136976282520112E-2</v>
      </c>
      <c r="CB18">
        <v>261</v>
      </c>
      <c r="CC18">
        <v>566</v>
      </c>
      <c r="CD18">
        <v>4.0816326530612242E-2</v>
      </c>
      <c r="CE18">
        <v>5.1718733674642151E-2</v>
      </c>
      <c r="CF18">
        <v>170</v>
      </c>
      <c r="CG18">
        <v>495</v>
      </c>
      <c r="CH18">
        <v>4.53781512605042E-2</v>
      </c>
      <c r="CI18">
        <v>3.8658447393166859E-2</v>
      </c>
      <c r="CJ18">
        <v>189</v>
      </c>
      <c r="CK18">
        <v>370</v>
      </c>
      <c r="CL18">
        <v>0</v>
      </c>
      <c r="CM18">
        <v>0</v>
      </c>
      <c r="CN18">
        <v>0</v>
      </c>
      <c r="CO18">
        <v>0</v>
      </c>
      <c r="CP18">
        <v>2.3529411764705882E-2</v>
      </c>
      <c r="CQ18">
        <v>3.0404346463274477E-2</v>
      </c>
      <c r="CR18">
        <v>98</v>
      </c>
      <c r="CS18">
        <v>291</v>
      </c>
      <c r="CT18">
        <v>4.4657863145258103E-2</v>
      </c>
      <c r="CU18">
        <v>5.3912861769929994E-2</v>
      </c>
      <c r="CV18">
        <v>186</v>
      </c>
      <c r="CW18">
        <v>516</v>
      </c>
      <c r="CX18">
        <v>0.2857142857142857</v>
      </c>
      <c r="CY18">
        <v>0.28534113467767214</v>
      </c>
      <c r="CZ18">
        <v>1190</v>
      </c>
      <c r="DA18">
        <v>2731</v>
      </c>
      <c r="DB18">
        <v>3.0972388955582186E-2</v>
      </c>
      <c r="DC18">
        <v>2.6434019433705824E-2</v>
      </c>
      <c r="DD18">
        <v>128.9999999999998</v>
      </c>
      <c r="DE18">
        <v>272.91740088105684</v>
      </c>
      <c r="DF18">
        <v>8.5106382978723402E-2</v>
      </c>
      <c r="DG18">
        <v>9.553349875930521E-2</v>
      </c>
      <c r="DH18">
        <v>88</v>
      </c>
      <c r="DI18">
        <v>231</v>
      </c>
      <c r="DJ18">
        <v>4.0618955512572531E-2</v>
      </c>
      <c r="DK18">
        <v>4.5078577336641855E-2</v>
      </c>
      <c r="DL18">
        <v>42</v>
      </c>
      <c r="DM18">
        <v>109</v>
      </c>
      <c r="DN18">
        <v>0.15087040618955513</v>
      </c>
      <c r="DO18">
        <v>0.12324234904880066</v>
      </c>
      <c r="DP18">
        <v>156</v>
      </c>
      <c r="DQ18">
        <v>298</v>
      </c>
      <c r="DR18">
        <v>3.1914893617021274E-2</v>
      </c>
      <c r="DS18">
        <v>3.2258064516129031E-2</v>
      </c>
      <c r="DT18">
        <v>33</v>
      </c>
      <c r="DU18">
        <v>78</v>
      </c>
      <c r="DV18">
        <v>8.994197292069632E-2</v>
      </c>
      <c r="DW18">
        <v>6.7411083540115796E-2</v>
      </c>
      <c r="DX18">
        <v>93</v>
      </c>
      <c r="DY18">
        <v>163</v>
      </c>
      <c r="DZ18">
        <v>0.1102514506769826</v>
      </c>
      <c r="EA18">
        <v>9.3465674110835395E-2</v>
      </c>
      <c r="EB18">
        <v>114</v>
      </c>
      <c r="EC18">
        <v>226</v>
      </c>
      <c r="ED18">
        <v>0.44100580270793038</v>
      </c>
      <c r="EE18">
        <v>0.47435897435897434</v>
      </c>
      <c r="EF18">
        <v>456</v>
      </c>
      <c r="EG18">
        <v>1147</v>
      </c>
      <c r="EH18">
        <v>5.0290135396518387E-2</v>
      </c>
      <c r="EI18">
        <v>6.8651778329197666E-2</v>
      </c>
      <c r="EJ18">
        <v>52.000000000000014</v>
      </c>
      <c r="EK18">
        <v>165.99999999999994</v>
      </c>
      <c r="EL18">
        <v>0</v>
      </c>
      <c r="EM18">
        <v>0.10297766749379653</v>
      </c>
      <c r="EN18">
        <v>0</v>
      </c>
      <c r="EO18">
        <v>249</v>
      </c>
      <c r="EP18">
        <v>1.9342359767891683E-3</v>
      </c>
      <c r="EQ18">
        <v>7.6923076923076927E-2</v>
      </c>
      <c r="ER18">
        <v>2</v>
      </c>
      <c r="ES18">
        <v>186</v>
      </c>
      <c r="ET18">
        <v>0.9874274661508704</v>
      </c>
      <c r="EU18">
        <v>0.4813895781637717</v>
      </c>
      <c r="EV18">
        <v>1021</v>
      </c>
      <c r="EW18">
        <v>1164</v>
      </c>
      <c r="EX18">
        <v>0</v>
      </c>
      <c r="EY18">
        <v>4.8800661703887513E-2</v>
      </c>
      <c r="EZ18">
        <v>0</v>
      </c>
      <c r="FA18">
        <v>118</v>
      </c>
      <c r="FB18">
        <v>0</v>
      </c>
      <c r="FC18">
        <v>8.0231596360628613E-2</v>
      </c>
      <c r="FD18">
        <v>0</v>
      </c>
      <c r="FE18">
        <v>194</v>
      </c>
      <c r="FF18">
        <v>9.6711798839458415E-4</v>
      </c>
      <c r="FG18">
        <v>0.16046319272125723</v>
      </c>
      <c r="FH18">
        <v>1</v>
      </c>
      <c r="FI18">
        <v>388</v>
      </c>
      <c r="FJ18">
        <v>9.6711798839458421E-3</v>
      </c>
      <c r="FK18">
        <v>4.9214226633581472E-2</v>
      </c>
      <c r="FL18">
        <v>10</v>
      </c>
      <c r="FM18">
        <v>119</v>
      </c>
      <c r="FN18">
        <v>170</v>
      </c>
      <c r="FO18">
        <v>495</v>
      </c>
      <c r="FP18">
        <v>170</v>
      </c>
      <c r="FQ18">
        <v>495</v>
      </c>
      <c r="FR18">
        <v>0</v>
      </c>
      <c r="FS18">
        <v>8.4848484848484854E-2</v>
      </c>
      <c r="FT18">
        <v>0</v>
      </c>
      <c r="FU18">
        <v>42</v>
      </c>
      <c r="FV18">
        <v>0</v>
      </c>
      <c r="FW18">
        <v>0</v>
      </c>
      <c r="FX18">
        <v>0</v>
      </c>
      <c r="FY18">
        <v>0</v>
      </c>
      <c r="FZ18">
        <v>0.99411764705882355</v>
      </c>
      <c r="GA18">
        <v>0.44242424242424244</v>
      </c>
      <c r="GB18">
        <v>169</v>
      </c>
      <c r="GC18">
        <v>219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5.8585858585858588E-2</v>
      </c>
      <c r="GJ18">
        <v>0</v>
      </c>
      <c r="GK18">
        <v>29</v>
      </c>
      <c r="GL18">
        <v>5.8823529411764705E-3</v>
      </c>
      <c r="GM18">
        <v>0.32323232323232326</v>
      </c>
      <c r="GN18">
        <v>1</v>
      </c>
      <c r="GO18">
        <v>160</v>
      </c>
      <c r="GP18">
        <v>0</v>
      </c>
      <c r="GQ18">
        <v>9.0909090909090912E-2</v>
      </c>
      <c r="GR18">
        <v>0</v>
      </c>
      <c r="GS18">
        <v>45</v>
      </c>
      <c r="GT18">
        <v>4.7388781431334626E-2</v>
      </c>
      <c r="GU18">
        <v>4.425144747725393E-2</v>
      </c>
      <c r="GV18">
        <v>49</v>
      </c>
      <c r="GW18">
        <v>107</v>
      </c>
      <c r="GX18">
        <v>6.5764023210831718E-2</v>
      </c>
      <c r="GY18">
        <v>7.3614557485525228E-2</v>
      </c>
      <c r="GZ18">
        <v>68</v>
      </c>
      <c r="HA18">
        <v>178</v>
      </c>
      <c r="HB18">
        <v>0</v>
      </c>
      <c r="HC18">
        <v>8.271298593879239E-4</v>
      </c>
      <c r="HD18">
        <v>0</v>
      </c>
      <c r="HE18">
        <v>2</v>
      </c>
      <c r="HF18">
        <v>9.6711798839458415E-4</v>
      </c>
      <c r="HG18">
        <v>4.1356492969396195E-4</v>
      </c>
      <c r="HH18">
        <v>1</v>
      </c>
      <c r="HI18">
        <v>1</v>
      </c>
      <c r="HJ18">
        <v>0</v>
      </c>
      <c r="HK18">
        <v>4.1356492969396195E-4</v>
      </c>
      <c r="HL18">
        <v>0</v>
      </c>
      <c r="HM18">
        <v>1</v>
      </c>
      <c r="HN18">
        <v>1.9342359767891683E-3</v>
      </c>
      <c r="HO18">
        <v>2.0678246484698098E-3</v>
      </c>
      <c r="HP18">
        <v>2</v>
      </c>
      <c r="HQ18">
        <v>5</v>
      </c>
      <c r="HR18">
        <v>0.79980657640232111</v>
      </c>
      <c r="HS18">
        <v>0.80024813895781632</v>
      </c>
      <c r="HT18">
        <v>827</v>
      </c>
      <c r="HU18">
        <v>1935</v>
      </c>
      <c r="HV18">
        <v>8.6073500967117994E-2</v>
      </c>
      <c r="HW18">
        <v>8.0231596360628613E-2</v>
      </c>
      <c r="HX18">
        <v>89</v>
      </c>
      <c r="HY18">
        <v>194</v>
      </c>
      <c r="HZ18">
        <v>0.46178343949044587</v>
      </c>
      <c r="IA18">
        <v>0.44483985765124556</v>
      </c>
      <c r="IB18">
        <v>145</v>
      </c>
      <c r="IC18">
        <v>375</v>
      </c>
      <c r="ID18">
        <v>0.24522292993630573</v>
      </c>
      <c r="IE18">
        <v>0.21233689205219455</v>
      </c>
      <c r="IF18">
        <v>77</v>
      </c>
      <c r="IG18">
        <v>179</v>
      </c>
      <c r="IH18">
        <v>6.3694267515923567E-2</v>
      </c>
      <c r="II18">
        <v>6.1684460260972719E-2</v>
      </c>
      <c r="IJ18">
        <v>20</v>
      </c>
      <c r="IK18">
        <v>52</v>
      </c>
      <c r="IL18">
        <v>2.8662420382165606E-2</v>
      </c>
      <c r="IM18">
        <v>4.0332147093712932E-2</v>
      </c>
      <c r="IN18">
        <v>9</v>
      </c>
      <c r="IO18">
        <v>34</v>
      </c>
      <c r="IP18">
        <v>0.20063694267515925</v>
      </c>
      <c r="IQ18">
        <v>0.2431791221826809</v>
      </c>
      <c r="IR18">
        <v>63</v>
      </c>
      <c r="IS18">
        <v>205</v>
      </c>
      <c r="IT18">
        <v>77.515283842794759</v>
      </c>
      <c r="IU18">
        <v>74.587521663778162</v>
      </c>
      <c r="IV18">
        <v>0.55021834061135366</v>
      </c>
      <c r="IW18">
        <v>0.515625</v>
      </c>
      <c r="IX18">
        <v>126</v>
      </c>
      <c r="IY18">
        <v>297</v>
      </c>
      <c r="IZ18">
        <v>0.20087336244541484</v>
      </c>
      <c r="JA18">
        <v>0.19444444444444445</v>
      </c>
      <c r="JB18">
        <v>46</v>
      </c>
      <c r="JC18">
        <v>112</v>
      </c>
      <c r="JD18">
        <v>5.2401746724890827E-2</v>
      </c>
      <c r="JE18">
        <v>5.9027777777777776E-2</v>
      </c>
      <c r="JF18">
        <v>12</v>
      </c>
      <c r="JG18">
        <v>34</v>
      </c>
      <c r="JH18">
        <v>2.6200873362445413E-2</v>
      </c>
      <c r="JI18">
        <v>3.125E-2</v>
      </c>
      <c r="JJ18">
        <v>6</v>
      </c>
      <c r="JK18">
        <v>18</v>
      </c>
      <c r="JL18">
        <v>0.1703056768558952</v>
      </c>
      <c r="JM18">
        <v>0.2013888888888889</v>
      </c>
      <c r="JN18">
        <v>39</v>
      </c>
      <c r="JO18">
        <v>116</v>
      </c>
      <c r="JP18">
        <v>0.04</v>
      </c>
      <c r="JQ18">
        <v>7.1895424836601302E-2</v>
      </c>
      <c r="JR18">
        <v>2</v>
      </c>
      <c r="JS18">
        <v>11</v>
      </c>
      <c r="JT18">
        <v>0.74</v>
      </c>
      <c r="JU18">
        <v>0.69281045751633985</v>
      </c>
      <c r="JV18">
        <v>37</v>
      </c>
      <c r="JW18">
        <v>106</v>
      </c>
      <c r="JX18">
        <v>0.08</v>
      </c>
      <c r="JY18">
        <v>7.1895424836601302E-2</v>
      </c>
      <c r="JZ18">
        <v>4</v>
      </c>
      <c r="KA18">
        <v>11</v>
      </c>
      <c r="KB18">
        <v>0</v>
      </c>
      <c r="KC18">
        <v>3.9215686274509803E-2</v>
      </c>
      <c r="KD18">
        <v>0</v>
      </c>
      <c r="KE18">
        <v>6</v>
      </c>
      <c r="KF18">
        <v>0.14000000000000001</v>
      </c>
      <c r="KG18">
        <v>0.12418300653594783</v>
      </c>
      <c r="KH18">
        <v>7</v>
      </c>
      <c r="KI18">
        <v>19</v>
      </c>
      <c r="KJ18">
        <v>0.2</v>
      </c>
      <c r="KK18">
        <v>0.15584415584415584</v>
      </c>
      <c r="KL18">
        <v>10</v>
      </c>
      <c r="KM18">
        <v>24</v>
      </c>
      <c r="KN18">
        <v>0.1</v>
      </c>
      <c r="KO18">
        <v>0.14935064935064934</v>
      </c>
      <c r="KP18">
        <v>5</v>
      </c>
      <c r="KQ18">
        <v>23</v>
      </c>
      <c r="KR18">
        <v>0.1</v>
      </c>
      <c r="KS18">
        <v>0.14285714285714285</v>
      </c>
      <c r="KT18">
        <v>5</v>
      </c>
      <c r="KU18">
        <v>22</v>
      </c>
      <c r="KV18">
        <v>0.14000000000000001</v>
      </c>
      <c r="KW18">
        <v>8.4415584415584416E-2</v>
      </c>
      <c r="KX18">
        <v>7</v>
      </c>
      <c r="KY18">
        <v>13</v>
      </c>
      <c r="KZ18">
        <v>0.45999999999999996</v>
      </c>
      <c r="LA18">
        <v>0.46753246753246758</v>
      </c>
      <c r="LB18">
        <v>23</v>
      </c>
      <c r="LC18">
        <v>72</v>
      </c>
      <c r="LD18">
        <v>0.43907156673114117</v>
      </c>
      <c r="LE18">
        <v>0.40135396518375244</v>
      </c>
      <c r="LF18">
        <v>9.6711798839458421E-3</v>
      </c>
      <c r="LG18">
        <v>2.80464216634429E-2</v>
      </c>
      <c r="LH18">
        <v>0.44334160463192723</v>
      </c>
      <c r="LI18">
        <v>0.38792390405293631</v>
      </c>
      <c r="LJ18">
        <v>1.282051282051282E-2</v>
      </c>
      <c r="LK18">
        <v>4.2597187758478094E-2</v>
      </c>
    </row>
    <row r="19" spans="1:323" x14ac:dyDescent="0.25">
      <c r="A19" t="s">
        <v>14</v>
      </c>
      <c r="B19" t="s">
        <v>55</v>
      </c>
      <c r="C19" t="s">
        <v>169</v>
      </c>
      <c r="D19">
        <v>1.3071895424836602E-2</v>
      </c>
      <c r="E19">
        <v>6.8627450980392163E-2</v>
      </c>
      <c r="F19">
        <v>0.21895424836601307</v>
      </c>
      <c r="G19">
        <v>0.44444444444444442</v>
      </c>
      <c r="H19">
        <v>0.25490196078431371</v>
      </c>
      <c r="I19">
        <v>1.1579818031430935E-2</v>
      </c>
      <c r="J19">
        <v>6.1621174524400329E-2</v>
      </c>
      <c r="K19">
        <v>0.21464019851116625</v>
      </c>
      <c r="L19">
        <v>0.44582299421009097</v>
      </c>
      <c r="M19">
        <v>0.26633581472291151</v>
      </c>
      <c r="N19">
        <v>0.5</v>
      </c>
      <c r="O19">
        <v>0.5</v>
      </c>
      <c r="P19">
        <v>0.6428571428571429</v>
      </c>
      <c r="Q19">
        <v>0.3571428571428571</v>
      </c>
      <c r="R19">
        <v>4</v>
      </c>
      <c r="S19">
        <v>32.25</v>
      </c>
      <c r="T19">
        <v>0</v>
      </c>
      <c r="U19">
        <v>10</v>
      </c>
      <c r="V19">
        <v>5.25</v>
      </c>
      <c r="W19">
        <v>38.25</v>
      </c>
      <c r="X19">
        <v>28</v>
      </c>
      <c r="Y19">
        <v>32.285714285714285</v>
      </c>
      <c r="Z19">
        <v>2</v>
      </c>
      <c r="AA19">
        <v>8.6428571428571423</v>
      </c>
      <c r="AB19">
        <v>3.8571428571428572</v>
      </c>
      <c r="AC19">
        <v>30.25</v>
      </c>
      <c r="AD19">
        <v>0.15789473684210525</v>
      </c>
      <c r="AE19">
        <v>0.41269841269841268</v>
      </c>
      <c r="AF19">
        <v>3</v>
      </c>
      <c r="AG19">
        <v>52</v>
      </c>
      <c r="AH19">
        <v>0.84210526315789469</v>
      </c>
      <c r="AI19">
        <v>0.56349206349206349</v>
      </c>
      <c r="AJ19">
        <v>16</v>
      </c>
      <c r="AK19">
        <v>71</v>
      </c>
      <c r="AL19">
        <v>0</v>
      </c>
      <c r="AM19">
        <v>2.3809523809523808E-2</v>
      </c>
      <c r="AN19">
        <v>0</v>
      </c>
      <c r="AO19">
        <v>3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0.25</v>
      </c>
      <c r="BC19">
        <v>9.25</v>
      </c>
      <c r="BD19">
        <v>0</v>
      </c>
      <c r="BE19">
        <v>0</v>
      </c>
      <c r="BF19">
        <v>0</v>
      </c>
      <c r="BG19" s="116" t="s">
        <v>187</v>
      </c>
      <c r="BH19">
        <v>0.35714285714285715</v>
      </c>
      <c r="BI19">
        <v>7.75</v>
      </c>
      <c r="BJ19">
        <v>0</v>
      </c>
      <c r="BK19">
        <v>0</v>
      </c>
      <c r="BL19">
        <v>0</v>
      </c>
      <c r="BM19">
        <v>0</v>
      </c>
      <c r="BN19">
        <v>0.23809523809523808</v>
      </c>
      <c r="BO19">
        <v>0.19444444444444445</v>
      </c>
      <c r="BP19">
        <v>5</v>
      </c>
      <c r="BQ19">
        <v>21</v>
      </c>
      <c r="BR19">
        <v>0</v>
      </c>
      <c r="BS19">
        <v>0.20370370370370369</v>
      </c>
      <c r="BT19">
        <v>0</v>
      </c>
      <c r="BU19">
        <v>22</v>
      </c>
      <c r="BV19">
        <v>9.5238095238095233E-2</v>
      </c>
      <c r="BW19">
        <v>3.7037037037037035E-2</v>
      </c>
      <c r="BX19">
        <v>2</v>
      </c>
      <c r="BY19">
        <v>4</v>
      </c>
      <c r="BZ19">
        <v>0</v>
      </c>
      <c r="CA19">
        <v>1.8518518518518517E-2</v>
      </c>
      <c r="CB19">
        <v>0</v>
      </c>
      <c r="CC19">
        <v>2</v>
      </c>
      <c r="CD19">
        <v>0.14285714285714285</v>
      </c>
      <c r="CE19">
        <v>0.12037037037037036</v>
      </c>
      <c r="CF19">
        <v>3</v>
      </c>
      <c r="CG19">
        <v>13</v>
      </c>
      <c r="CH19">
        <v>0</v>
      </c>
      <c r="CI19">
        <v>6.4814814814814811E-2</v>
      </c>
      <c r="CJ19">
        <v>0</v>
      </c>
      <c r="CK19">
        <v>7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9.2592592592592587E-3</v>
      </c>
      <c r="CR19">
        <v>0</v>
      </c>
      <c r="CS19">
        <v>1</v>
      </c>
      <c r="CT19">
        <v>0</v>
      </c>
      <c r="CU19">
        <v>5.5555555555555552E-2</v>
      </c>
      <c r="CV19">
        <v>0</v>
      </c>
      <c r="CW19">
        <v>6</v>
      </c>
      <c r="CX19">
        <v>0.47619047619047616</v>
      </c>
      <c r="CY19">
        <v>0.27777777777777779</v>
      </c>
      <c r="CZ19">
        <v>10</v>
      </c>
      <c r="DA19">
        <v>30</v>
      </c>
      <c r="DB19">
        <v>4.7619047619047672E-2</v>
      </c>
      <c r="DC19">
        <v>1.851851851851849E-2</v>
      </c>
      <c r="DD19">
        <v>1.0000000000000011</v>
      </c>
      <c r="DE19">
        <v>4.2000000000000046</v>
      </c>
      <c r="DF19">
        <v>0.5</v>
      </c>
      <c r="DG19">
        <v>0.14285714285714285</v>
      </c>
      <c r="DH19">
        <v>2</v>
      </c>
      <c r="DI19">
        <v>4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0.17857142857142858</v>
      </c>
      <c r="DP19">
        <v>0</v>
      </c>
      <c r="DQ19">
        <v>5</v>
      </c>
      <c r="DR19">
        <v>0</v>
      </c>
      <c r="DS19">
        <v>0</v>
      </c>
      <c r="DT19">
        <v>0</v>
      </c>
      <c r="DU19">
        <v>0</v>
      </c>
      <c r="DV19">
        <v>0.25</v>
      </c>
      <c r="DW19">
        <v>0.10714285714285714</v>
      </c>
      <c r="DX19">
        <v>1</v>
      </c>
      <c r="DY19">
        <v>3</v>
      </c>
      <c r="DZ19">
        <v>0</v>
      </c>
      <c r="EA19">
        <v>0.14285714285714285</v>
      </c>
      <c r="EB19">
        <v>0</v>
      </c>
      <c r="EC19">
        <v>4</v>
      </c>
      <c r="ED19">
        <v>0</v>
      </c>
      <c r="EE19">
        <v>0.35714285714285715</v>
      </c>
      <c r="EF19">
        <v>0</v>
      </c>
      <c r="EG19">
        <v>10</v>
      </c>
      <c r="EH19">
        <v>0.25</v>
      </c>
      <c r="EI19">
        <v>7.1428571428571397E-2</v>
      </c>
      <c r="EJ19">
        <v>1</v>
      </c>
      <c r="EK19">
        <v>1.9999999999999991</v>
      </c>
      <c r="EL19">
        <v>0</v>
      </c>
      <c r="EM19">
        <v>0.17857142857142858</v>
      </c>
      <c r="EN19">
        <v>0</v>
      </c>
      <c r="EO19">
        <v>5</v>
      </c>
      <c r="EP19">
        <v>0</v>
      </c>
      <c r="EQ19">
        <v>7.1428571428571425E-2</v>
      </c>
      <c r="ER19">
        <v>0</v>
      </c>
      <c r="ES19">
        <v>2</v>
      </c>
      <c r="ET19">
        <v>0.25</v>
      </c>
      <c r="EU19">
        <v>0.5714285714285714</v>
      </c>
      <c r="EV19">
        <v>1</v>
      </c>
      <c r="EW19">
        <v>16</v>
      </c>
      <c r="EX19">
        <v>0.25</v>
      </c>
      <c r="EY19">
        <v>7.1428571428571425E-2</v>
      </c>
      <c r="EZ19">
        <v>1</v>
      </c>
      <c r="FA19">
        <v>2</v>
      </c>
      <c r="FB19">
        <v>0</v>
      </c>
      <c r="FC19">
        <v>0</v>
      </c>
      <c r="FD19">
        <v>0</v>
      </c>
      <c r="FE19">
        <v>0</v>
      </c>
      <c r="FF19">
        <v>0.5</v>
      </c>
      <c r="FG19">
        <v>0.10714285714285714</v>
      </c>
      <c r="FH19">
        <v>2</v>
      </c>
      <c r="FI19">
        <v>3</v>
      </c>
      <c r="FJ19">
        <v>0</v>
      </c>
      <c r="FK19">
        <v>0</v>
      </c>
      <c r="FL19">
        <v>0</v>
      </c>
      <c r="FM19">
        <v>0</v>
      </c>
      <c r="FN19">
        <v>3</v>
      </c>
      <c r="FO19">
        <v>13</v>
      </c>
      <c r="FP19">
        <v>3</v>
      </c>
      <c r="FQ19">
        <v>13</v>
      </c>
      <c r="FR19">
        <v>0</v>
      </c>
      <c r="FS19">
        <v>0.23076923076923078</v>
      </c>
      <c r="FT19">
        <v>0</v>
      </c>
      <c r="FU19">
        <v>3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0.30769230769230771</v>
      </c>
      <c r="GB19">
        <v>0</v>
      </c>
      <c r="GC19">
        <v>4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1</v>
      </c>
      <c r="GM19">
        <v>0.38461538461538464</v>
      </c>
      <c r="GN19">
        <v>3</v>
      </c>
      <c r="GO19">
        <v>5</v>
      </c>
      <c r="GP19">
        <v>0</v>
      </c>
      <c r="GQ19">
        <v>7.6923076923076927E-2</v>
      </c>
      <c r="GR19">
        <v>0</v>
      </c>
      <c r="GS19">
        <v>1</v>
      </c>
      <c r="GT19">
        <v>0</v>
      </c>
      <c r="GU19">
        <v>0</v>
      </c>
      <c r="GV19">
        <v>0</v>
      </c>
      <c r="GW19">
        <v>0</v>
      </c>
      <c r="GX19">
        <v>0.25</v>
      </c>
      <c r="GY19">
        <v>7.1428571428571425E-2</v>
      </c>
      <c r="GZ19">
        <v>1</v>
      </c>
      <c r="HA19">
        <v>2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v>0</v>
      </c>
      <c r="HP19">
        <v>0</v>
      </c>
      <c r="HQ19">
        <v>0</v>
      </c>
      <c r="HR19">
        <v>0.75</v>
      </c>
      <c r="HS19">
        <v>0.8928571428571429</v>
      </c>
      <c r="HT19">
        <v>3</v>
      </c>
      <c r="HU19">
        <v>25</v>
      </c>
      <c r="HV19">
        <v>0</v>
      </c>
      <c r="HW19">
        <v>3.5714285714285712E-2</v>
      </c>
      <c r="HX19">
        <v>0</v>
      </c>
      <c r="HY19">
        <v>1</v>
      </c>
      <c r="HZ19">
        <v>1</v>
      </c>
      <c r="IA19">
        <v>0.6</v>
      </c>
      <c r="IB19">
        <v>1</v>
      </c>
      <c r="IC19">
        <v>6</v>
      </c>
      <c r="ID19">
        <v>0</v>
      </c>
      <c r="IE19">
        <v>0.1</v>
      </c>
      <c r="IF19">
        <v>0</v>
      </c>
      <c r="IG19">
        <v>1</v>
      </c>
      <c r="IH19">
        <v>0</v>
      </c>
      <c r="II19">
        <v>0.1</v>
      </c>
      <c r="IJ19">
        <v>0</v>
      </c>
      <c r="IK19">
        <v>1</v>
      </c>
      <c r="IL19">
        <v>0</v>
      </c>
      <c r="IM19">
        <v>0</v>
      </c>
      <c r="IN19">
        <v>0</v>
      </c>
      <c r="IO19">
        <v>0</v>
      </c>
      <c r="IP19">
        <v>0</v>
      </c>
      <c r="IQ19">
        <v>0.2</v>
      </c>
      <c r="IR19">
        <v>0</v>
      </c>
      <c r="IS19">
        <v>2</v>
      </c>
      <c r="IT19">
        <v>0</v>
      </c>
      <c r="IU19">
        <v>69.75</v>
      </c>
      <c r="IV19">
        <v>1</v>
      </c>
      <c r="IW19">
        <v>0.625</v>
      </c>
      <c r="IX19">
        <v>1</v>
      </c>
      <c r="IY19">
        <v>5</v>
      </c>
      <c r="IZ19">
        <v>0</v>
      </c>
      <c r="JA19">
        <v>0.125</v>
      </c>
      <c r="JB19">
        <v>0</v>
      </c>
      <c r="JC19">
        <v>1</v>
      </c>
      <c r="JD19">
        <v>0</v>
      </c>
      <c r="JE19">
        <v>0.125</v>
      </c>
      <c r="JF19">
        <v>0</v>
      </c>
      <c r="JG19">
        <v>1</v>
      </c>
      <c r="JH19">
        <v>0</v>
      </c>
      <c r="JI19">
        <v>0</v>
      </c>
      <c r="JJ19">
        <v>0</v>
      </c>
      <c r="JK19">
        <v>0</v>
      </c>
      <c r="JL19">
        <v>0</v>
      </c>
      <c r="JM19">
        <v>0.125</v>
      </c>
      <c r="JN19">
        <v>0</v>
      </c>
      <c r="JO19">
        <v>1</v>
      </c>
      <c r="JP19" s="116" t="s">
        <v>187</v>
      </c>
      <c r="JQ19" s="116" t="s">
        <v>187</v>
      </c>
      <c r="JR19">
        <v>0</v>
      </c>
      <c r="JS19">
        <v>0</v>
      </c>
      <c r="JT19" s="116" t="s">
        <v>187</v>
      </c>
      <c r="JU19" s="116" t="s">
        <v>187</v>
      </c>
      <c r="JV19">
        <v>0</v>
      </c>
      <c r="JW19">
        <v>0</v>
      </c>
      <c r="JX19" s="116" t="s">
        <v>187</v>
      </c>
      <c r="JY19" s="116" t="s">
        <v>187</v>
      </c>
      <c r="JZ19">
        <v>0</v>
      </c>
      <c r="KA19">
        <v>0</v>
      </c>
      <c r="KB19" s="116" t="s">
        <v>187</v>
      </c>
      <c r="KC19" s="116" t="s">
        <v>187</v>
      </c>
      <c r="KD19">
        <v>0</v>
      </c>
      <c r="KE19">
        <v>0</v>
      </c>
      <c r="KF19" s="116" t="s">
        <v>187</v>
      </c>
      <c r="KG19" s="116" t="s">
        <v>187</v>
      </c>
      <c r="KH19">
        <v>0</v>
      </c>
      <c r="KI19">
        <v>0</v>
      </c>
      <c r="KJ19" s="116" t="s">
        <v>187</v>
      </c>
      <c r="KK19" s="116" t="s">
        <v>187</v>
      </c>
      <c r="KL19">
        <v>0</v>
      </c>
      <c r="KM19">
        <v>0</v>
      </c>
      <c r="KN19" s="116" t="s">
        <v>187</v>
      </c>
      <c r="KO19" s="116" t="s">
        <v>187</v>
      </c>
      <c r="KP19">
        <v>0</v>
      </c>
      <c r="KQ19">
        <v>0</v>
      </c>
      <c r="KR19" s="116" t="s">
        <v>187</v>
      </c>
      <c r="KS19" s="116" t="s">
        <v>187</v>
      </c>
      <c r="KT19">
        <v>0</v>
      </c>
      <c r="KU19">
        <v>0</v>
      </c>
      <c r="KV19" s="116" t="s">
        <v>187</v>
      </c>
      <c r="KW19" s="116" t="s">
        <v>187</v>
      </c>
      <c r="KX19">
        <v>0</v>
      </c>
      <c r="KY19">
        <v>0</v>
      </c>
      <c r="KZ19" s="116" t="s">
        <v>187</v>
      </c>
      <c r="LA19" s="116" t="s">
        <v>187</v>
      </c>
      <c r="LB19">
        <v>0</v>
      </c>
      <c r="LC19">
        <v>0</v>
      </c>
      <c r="LD19">
        <v>0.5</v>
      </c>
      <c r="LE19">
        <v>0.5</v>
      </c>
      <c r="LF19">
        <v>0</v>
      </c>
      <c r="LG19">
        <v>0</v>
      </c>
      <c r="LH19">
        <v>0.2857142857142857</v>
      </c>
      <c r="LI19">
        <v>0.21428571428571427</v>
      </c>
      <c r="LJ19">
        <v>0</v>
      </c>
      <c r="LK19">
        <v>7.1428571428571425E-2</v>
      </c>
    </row>
    <row r="20" spans="1:323" x14ac:dyDescent="0.25">
      <c r="A20" t="s">
        <v>14</v>
      </c>
      <c r="B20" t="s">
        <v>56</v>
      </c>
      <c r="C20" t="s">
        <v>170</v>
      </c>
      <c r="D20">
        <v>1.3071895424836602E-2</v>
      </c>
      <c r="E20">
        <v>6.8627450980392163E-2</v>
      </c>
      <c r="F20">
        <v>0.21895424836601307</v>
      </c>
      <c r="G20">
        <v>0.44444444444444442</v>
      </c>
      <c r="H20">
        <v>0.25490196078431371</v>
      </c>
      <c r="I20">
        <v>1.1579818031430935E-2</v>
      </c>
      <c r="J20">
        <v>6.1621174524400329E-2</v>
      </c>
      <c r="K20">
        <v>0.21464019851116625</v>
      </c>
      <c r="L20">
        <v>0.44582299421009097</v>
      </c>
      <c r="M20">
        <v>0.26633581472291151</v>
      </c>
      <c r="N20">
        <v>0.61904761904761907</v>
      </c>
      <c r="O20">
        <v>0.38095238095238093</v>
      </c>
      <c r="P20">
        <v>0.57046979865771807</v>
      </c>
      <c r="Q20">
        <v>0.42953020134228193</v>
      </c>
      <c r="R20">
        <v>21</v>
      </c>
      <c r="S20">
        <v>46.047619047619051</v>
      </c>
      <c r="T20">
        <v>1</v>
      </c>
      <c r="U20">
        <v>17.428571428571427</v>
      </c>
      <c r="V20">
        <v>4.1428571428571432</v>
      </c>
      <c r="W20">
        <v>27.61904761904762</v>
      </c>
      <c r="X20">
        <v>149</v>
      </c>
      <c r="Y20">
        <v>45.778523489932887</v>
      </c>
      <c r="Z20">
        <v>13</v>
      </c>
      <c r="AA20">
        <v>14.100671140939598</v>
      </c>
      <c r="AB20">
        <v>4.798657718120805</v>
      </c>
      <c r="AC20">
        <v>37.973154362416111</v>
      </c>
      <c r="AD20">
        <v>0.44176706827309237</v>
      </c>
      <c r="AE20">
        <v>0.44230769230769229</v>
      </c>
      <c r="AF20">
        <v>110</v>
      </c>
      <c r="AG20">
        <v>552</v>
      </c>
      <c r="AH20">
        <v>0.52610441767068272</v>
      </c>
      <c r="AI20">
        <v>0.52804487179487181</v>
      </c>
      <c r="AJ20">
        <v>131</v>
      </c>
      <c r="AK20">
        <v>659</v>
      </c>
      <c r="AL20">
        <v>0</v>
      </c>
      <c r="AM20">
        <v>1.0416666666666666E-2</v>
      </c>
      <c r="AN20">
        <v>0</v>
      </c>
      <c r="AO20">
        <v>13</v>
      </c>
      <c r="AP20">
        <v>0</v>
      </c>
      <c r="AQ20">
        <v>1.282051282051282E-2</v>
      </c>
      <c r="AR20">
        <v>0</v>
      </c>
      <c r="AS20">
        <v>16</v>
      </c>
      <c r="AT20">
        <v>3.2128514056224897E-2</v>
      </c>
      <c r="AU20">
        <v>6.41025641025641E-3</v>
      </c>
      <c r="AV20">
        <v>8</v>
      </c>
      <c r="AW20">
        <v>8</v>
      </c>
      <c r="AX20">
        <v>0</v>
      </c>
      <c r="AY20">
        <v>0</v>
      </c>
      <c r="AZ20">
        <v>0</v>
      </c>
      <c r="BA20">
        <v>0</v>
      </c>
      <c r="BB20">
        <v>0.33333333333333331</v>
      </c>
      <c r="BC20">
        <v>8.1428571428571423</v>
      </c>
      <c r="BD20">
        <v>4.7619047619047616E-2</v>
      </c>
      <c r="BE20">
        <v>2.0476190476190474</v>
      </c>
      <c r="BF20">
        <v>4.7619047619047616E-2</v>
      </c>
      <c r="BG20" s="116" t="s">
        <v>187</v>
      </c>
      <c r="BH20">
        <v>0.28859060402684567</v>
      </c>
      <c r="BI20">
        <v>6.0067114093959733</v>
      </c>
      <c r="BJ20">
        <v>5.3691275167785234E-2</v>
      </c>
      <c r="BK20">
        <v>0.70469798657718119</v>
      </c>
      <c r="BL20">
        <v>2.6845637583892617E-2</v>
      </c>
      <c r="BM20">
        <v>0.66442953020134232</v>
      </c>
      <c r="BN20">
        <v>0.14942528735632185</v>
      </c>
      <c r="BO20">
        <v>0.27272727272727271</v>
      </c>
      <c r="BP20">
        <v>13</v>
      </c>
      <c r="BQ20">
        <v>195</v>
      </c>
      <c r="BR20">
        <v>0.20689655172413793</v>
      </c>
      <c r="BS20">
        <v>0.14265734265734265</v>
      </c>
      <c r="BT20">
        <v>18</v>
      </c>
      <c r="BU20">
        <v>102</v>
      </c>
      <c r="BV20">
        <v>3.4482758620689655E-2</v>
      </c>
      <c r="BW20">
        <v>6.7132867132867133E-2</v>
      </c>
      <c r="BX20">
        <v>3</v>
      </c>
      <c r="BY20">
        <v>48</v>
      </c>
      <c r="BZ20">
        <v>6.8965517241379309E-2</v>
      </c>
      <c r="CA20">
        <v>7.2727272727272724E-2</v>
      </c>
      <c r="CB20">
        <v>6</v>
      </c>
      <c r="CC20">
        <v>52</v>
      </c>
      <c r="CD20">
        <v>0.11494252873563218</v>
      </c>
      <c r="CE20">
        <v>5.1748251748251747E-2</v>
      </c>
      <c r="CF20">
        <v>10</v>
      </c>
      <c r="CG20">
        <v>37</v>
      </c>
      <c r="CH20">
        <v>3.4482758620689655E-2</v>
      </c>
      <c r="CI20">
        <v>3.6363636363636362E-2</v>
      </c>
      <c r="CJ20">
        <v>3</v>
      </c>
      <c r="CK20">
        <v>26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3.9160839160839164E-2</v>
      </c>
      <c r="CR20">
        <v>0</v>
      </c>
      <c r="CS20">
        <v>28</v>
      </c>
      <c r="CT20">
        <v>0.10344827586206896</v>
      </c>
      <c r="CU20">
        <v>4.8951048951048952E-2</v>
      </c>
      <c r="CV20">
        <v>9</v>
      </c>
      <c r="CW20">
        <v>35</v>
      </c>
      <c r="CX20">
        <v>0.27586206896551724</v>
      </c>
      <c r="CY20">
        <v>0.24615384615384617</v>
      </c>
      <c r="CZ20">
        <v>24</v>
      </c>
      <c r="DA20">
        <v>176</v>
      </c>
      <c r="DB20">
        <v>1.1494252873563315E-2</v>
      </c>
      <c r="DC20">
        <v>2.2377622377622419E-2</v>
      </c>
      <c r="DD20">
        <v>1.0000000000000084</v>
      </c>
      <c r="DE20">
        <v>15.000000000000126</v>
      </c>
      <c r="DF20">
        <v>0.19047619047619047</v>
      </c>
      <c r="DG20">
        <v>0.13422818791946309</v>
      </c>
      <c r="DH20">
        <v>4</v>
      </c>
      <c r="DI20">
        <v>20</v>
      </c>
      <c r="DJ20">
        <v>0.14285714285714285</v>
      </c>
      <c r="DK20">
        <v>7.3825503355704702E-2</v>
      </c>
      <c r="DL20">
        <v>3</v>
      </c>
      <c r="DM20">
        <v>11</v>
      </c>
      <c r="DN20">
        <v>9.5238095238095233E-2</v>
      </c>
      <c r="DO20">
        <v>0.12080536912751678</v>
      </c>
      <c r="DP20">
        <v>2</v>
      </c>
      <c r="DQ20">
        <v>18</v>
      </c>
      <c r="DR20">
        <v>0</v>
      </c>
      <c r="DS20">
        <v>6.7114093959731542E-3</v>
      </c>
      <c r="DT20">
        <v>0</v>
      </c>
      <c r="DU20">
        <v>1</v>
      </c>
      <c r="DV20">
        <v>9.5238095238095233E-2</v>
      </c>
      <c r="DW20">
        <v>0.13422818791946309</v>
      </c>
      <c r="DX20">
        <v>2</v>
      </c>
      <c r="DY20">
        <v>20</v>
      </c>
      <c r="DZ20">
        <v>9.5238095238095233E-2</v>
      </c>
      <c r="EA20">
        <v>8.7248322147651006E-2</v>
      </c>
      <c r="EB20">
        <v>2</v>
      </c>
      <c r="EC20">
        <v>13</v>
      </c>
      <c r="ED20">
        <v>0.33333333333333331</v>
      </c>
      <c r="EE20">
        <v>0.3825503355704698</v>
      </c>
      <c r="EF20">
        <v>7</v>
      </c>
      <c r="EG20">
        <v>57</v>
      </c>
      <c r="EH20">
        <v>4.7619047619047672E-2</v>
      </c>
      <c r="EI20">
        <v>6.0402684563758413E-2</v>
      </c>
      <c r="EJ20">
        <v>1.0000000000000011</v>
      </c>
      <c r="EK20">
        <v>9.0000000000000036</v>
      </c>
      <c r="EL20">
        <v>0</v>
      </c>
      <c r="EM20">
        <v>9.3959731543624164E-2</v>
      </c>
      <c r="EN20">
        <v>0</v>
      </c>
      <c r="EO20">
        <v>14</v>
      </c>
      <c r="EP20">
        <v>0</v>
      </c>
      <c r="EQ20">
        <v>6.7114093959731544E-2</v>
      </c>
      <c r="ER20">
        <v>0</v>
      </c>
      <c r="ES20">
        <v>10</v>
      </c>
      <c r="ET20">
        <v>4.7619047619047616E-2</v>
      </c>
      <c r="EU20">
        <v>0.50335570469798663</v>
      </c>
      <c r="EV20">
        <v>1</v>
      </c>
      <c r="EW20">
        <v>75</v>
      </c>
      <c r="EX20">
        <v>0.47619047619047616</v>
      </c>
      <c r="EY20">
        <v>6.7114093959731544E-2</v>
      </c>
      <c r="EZ20">
        <v>10</v>
      </c>
      <c r="FA20">
        <v>10</v>
      </c>
      <c r="FB20">
        <v>0</v>
      </c>
      <c r="FC20">
        <v>8.7248322147651006E-2</v>
      </c>
      <c r="FD20">
        <v>0</v>
      </c>
      <c r="FE20">
        <v>13</v>
      </c>
      <c r="FF20">
        <v>0.47619047619047616</v>
      </c>
      <c r="FG20">
        <v>0.13422818791946309</v>
      </c>
      <c r="FH20">
        <v>10</v>
      </c>
      <c r="FI20">
        <v>20</v>
      </c>
      <c r="FJ20">
        <v>0</v>
      </c>
      <c r="FK20">
        <v>4.6979865771812082E-2</v>
      </c>
      <c r="FL20">
        <v>0</v>
      </c>
      <c r="FM20">
        <v>7</v>
      </c>
      <c r="FN20">
        <v>10</v>
      </c>
      <c r="FO20">
        <v>37</v>
      </c>
      <c r="FP20">
        <v>10</v>
      </c>
      <c r="FQ20">
        <v>37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0.48648648648648651</v>
      </c>
      <c r="GB20">
        <v>0</v>
      </c>
      <c r="GC20">
        <v>18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5.4054054054054057E-2</v>
      </c>
      <c r="GJ20">
        <v>0</v>
      </c>
      <c r="GK20">
        <v>2</v>
      </c>
      <c r="GL20">
        <v>1</v>
      </c>
      <c r="GM20">
        <v>0.32432432432432434</v>
      </c>
      <c r="GN20">
        <v>10</v>
      </c>
      <c r="GO20">
        <v>12</v>
      </c>
      <c r="GP20">
        <v>0</v>
      </c>
      <c r="GQ20">
        <v>0.13513513513513514</v>
      </c>
      <c r="GR20">
        <v>0</v>
      </c>
      <c r="GS20">
        <v>5</v>
      </c>
      <c r="GT20">
        <v>9.5238095238095233E-2</v>
      </c>
      <c r="GU20">
        <v>7.3825503355704702E-2</v>
      </c>
      <c r="GV20">
        <v>2</v>
      </c>
      <c r="GW20">
        <v>11</v>
      </c>
      <c r="GX20">
        <v>4.7619047619047616E-2</v>
      </c>
      <c r="GY20">
        <v>7.3825503355704702E-2</v>
      </c>
      <c r="GZ20">
        <v>1</v>
      </c>
      <c r="HA20">
        <v>11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0</v>
      </c>
      <c r="HI20">
        <v>0</v>
      </c>
      <c r="HJ20">
        <v>0</v>
      </c>
      <c r="HK20">
        <v>6.7114093959731542E-3</v>
      </c>
      <c r="HL20">
        <v>0</v>
      </c>
      <c r="HM20">
        <v>1</v>
      </c>
      <c r="HN20">
        <v>0</v>
      </c>
      <c r="HO20">
        <v>0</v>
      </c>
      <c r="HP20">
        <v>0</v>
      </c>
      <c r="HQ20">
        <v>0</v>
      </c>
      <c r="HR20">
        <v>0.8571428571428571</v>
      </c>
      <c r="HS20">
        <v>0.81208053691275173</v>
      </c>
      <c r="HT20">
        <v>18</v>
      </c>
      <c r="HU20">
        <v>121</v>
      </c>
      <c r="HV20">
        <v>0</v>
      </c>
      <c r="HW20">
        <v>3.3557046979865772E-2</v>
      </c>
      <c r="HX20">
        <v>0</v>
      </c>
      <c r="HY20">
        <v>5</v>
      </c>
      <c r="HZ20">
        <v>0.7142857142857143</v>
      </c>
      <c r="IA20">
        <v>0.48888888888888887</v>
      </c>
      <c r="IB20">
        <v>5</v>
      </c>
      <c r="IC20">
        <v>22</v>
      </c>
      <c r="ID20">
        <v>0</v>
      </c>
      <c r="IE20">
        <v>8.8888888888888892E-2</v>
      </c>
      <c r="IF20">
        <v>0</v>
      </c>
      <c r="IG20">
        <v>4</v>
      </c>
      <c r="IH20">
        <v>0.2857142857142857</v>
      </c>
      <c r="II20">
        <v>6.6666666666666666E-2</v>
      </c>
      <c r="IJ20">
        <v>2</v>
      </c>
      <c r="IK20">
        <v>3</v>
      </c>
      <c r="IL20">
        <v>0</v>
      </c>
      <c r="IM20">
        <v>8.8888888888888892E-2</v>
      </c>
      <c r="IN20">
        <v>0</v>
      </c>
      <c r="IO20">
        <v>4</v>
      </c>
      <c r="IP20">
        <v>0</v>
      </c>
      <c r="IQ20">
        <v>0.26666666666666666</v>
      </c>
      <c r="IR20">
        <v>0</v>
      </c>
      <c r="IS20">
        <v>12</v>
      </c>
      <c r="IT20">
        <v>56.833333333333336</v>
      </c>
      <c r="IU20">
        <v>66.038461538461533</v>
      </c>
      <c r="IV20">
        <v>0.66666666666666663</v>
      </c>
      <c r="IW20">
        <v>0.61538461538461542</v>
      </c>
      <c r="IX20">
        <v>4</v>
      </c>
      <c r="IY20">
        <v>16</v>
      </c>
      <c r="IZ20">
        <v>0</v>
      </c>
      <c r="JA20">
        <v>3.8461538461538464E-2</v>
      </c>
      <c r="JB20">
        <v>0</v>
      </c>
      <c r="JC20">
        <v>1</v>
      </c>
      <c r="JD20">
        <v>0.33333333333333331</v>
      </c>
      <c r="JE20">
        <v>0.11538461538461539</v>
      </c>
      <c r="JF20">
        <v>2</v>
      </c>
      <c r="JG20">
        <v>3</v>
      </c>
      <c r="JH20">
        <v>0</v>
      </c>
      <c r="JI20">
        <v>3.8461538461538464E-2</v>
      </c>
      <c r="JJ20">
        <v>0</v>
      </c>
      <c r="JK20">
        <v>1</v>
      </c>
      <c r="JL20">
        <v>0</v>
      </c>
      <c r="JM20">
        <v>0.19230769230769232</v>
      </c>
      <c r="JN20">
        <v>0</v>
      </c>
      <c r="JO20">
        <v>5</v>
      </c>
      <c r="JP20">
        <v>0</v>
      </c>
      <c r="JQ20">
        <v>0</v>
      </c>
      <c r="JR20">
        <v>0</v>
      </c>
      <c r="JS20">
        <v>0</v>
      </c>
      <c r="JT20">
        <v>0</v>
      </c>
      <c r="JU20">
        <v>0.875</v>
      </c>
      <c r="JV20">
        <v>0</v>
      </c>
      <c r="JW20">
        <v>7</v>
      </c>
      <c r="JX20">
        <v>0</v>
      </c>
      <c r="JY20">
        <v>0</v>
      </c>
      <c r="JZ20">
        <v>0</v>
      </c>
      <c r="KA20">
        <v>0</v>
      </c>
      <c r="KB20">
        <v>1</v>
      </c>
      <c r="KC20">
        <v>0.125</v>
      </c>
      <c r="KD20">
        <v>1</v>
      </c>
      <c r="KE20">
        <v>1</v>
      </c>
      <c r="KF20">
        <v>0</v>
      </c>
      <c r="KG20">
        <v>0</v>
      </c>
      <c r="KH20">
        <v>0</v>
      </c>
      <c r="KI20">
        <v>0</v>
      </c>
      <c r="KJ20">
        <v>1</v>
      </c>
      <c r="KK20">
        <v>0.5</v>
      </c>
      <c r="KL20">
        <v>1</v>
      </c>
      <c r="KM20">
        <v>4</v>
      </c>
      <c r="KN20">
        <v>0</v>
      </c>
      <c r="KO20">
        <v>0</v>
      </c>
      <c r="KP20">
        <v>0</v>
      </c>
      <c r="KQ20">
        <v>0</v>
      </c>
      <c r="KR20">
        <v>0</v>
      </c>
      <c r="KS20">
        <v>0</v>
      </c>
      <c r="KT20">
        <v>0</v>
      </c>
      <c r="KU20">
        <v>0</v>
      </c>
      <c r="KV20">
        <v>0</v>
      </c>
      <c r="KW20">
        <v>0</v>
      </c>
      <c r="KX20">
        <v>0</v>
      </c>
      <c r="KY20">
        <v>0</v>
      </c>
      <c r="KZ20">
        <v>0</v>
      </c>
      <c r="LA20">
        <v>0.5</v>
      </c>
      <c r="LB20">
        <v>0</v>
      </c>
      <c r="LC20">
        <v>4</v>
      </c>
      <c r="LD20">
        <v>0.19047619047619047</v>
      </c>
      <c r="LE20">
        <v>0.19047619047619047</v>
      </c>
      <c r="LF20">
        <v>0</v>
      </c>
      <c r="LG20">
        <v>0</v>
      </c>
      <c r="LH20">
        <v>0.41610738255033558</v>
      </c>
      <c r="LI20">
        <v>0.36912751677852351</v>
      </c>
      <c r="LJ20">
        <v>6.7114093959731542E-3</v>
      </c>
      <c r="LK20">
        <v>4.0268456375838924E-2</v>
      </c>
    </row>
    <row r="21" spans="1:323" x14ac:dyDescent="0.25">
      <c r="A21" t="s">
        <v>14</v>
      </c>
      <c r="B21" t="s">
        <v>57</v>
      </c>
      <c r="C21" t="s">
        <v>171</v>
      </c>
      <c r="D21">
        <v>1.3071895424836602E-2</v>
      </c>
      <c r="E21">
        <v>6.8627450980392163E-2</v>
      </c>
      <c r="F21">
        <v>0.21895424836601307</v>
      </c>
      <c r="G21">
        <v>0.44444444444444442</v>
      </c>
      <c r="H21">
        <v>0.25490196078431371</v>
      </c>
      <c r="I21">
        <v>1.1579818031430935E-2</v>
      </c>
      <c r="J21">
        <v>6.1621174524400329E-2</v>
      </c>
      <c r="K21">
        <v>0.21464019851116625</v>
      </c>
      <c r="L21">
        <v>0.44582299421009097</v>
      </c>
      <c r="M21">
        <v>0.26633581472291151</v>
      </c>
      <c r="N21">
        <v>0.65671641791044777</v>
      </c>
      <c r="O21">
        <v>0.34328358208955223</v>
      </c>
      <c r="P21">
        <v>0.65895953757225434</v>
      </c>
      <c r="Q21">
        <v>0.34104046242774566</v>
      </c>
      <c r="R21">
        <v>67</v>
      </c>
      <c r="S21">
        <v>55.432835820895519</v>
      </c>
      <c r="T21">
        <v>7</v>
      </c>
      <c r="U21">
        <v>17.626865671641792</v>
      </c>
      <c r="V21">
        <v>3.4179104477611939</v>
      </c>
      <c r="W21">
        <v>29.567164179104477</v>
      </c>
      <c r="X21">
        <v>519</v>
      </c>
      <c r="Y21">
        <v>55.188824662813104</v>
      </c>
      <c r="Z21">
        <v>40</v>
      </c>
      <c r="AA21">
        <v>12.921001926782274</v>
      </c>
      <c r="AB21">
        <v>4.5202312138728322</v>
      </c>
      <c r="AC21">
        <v>37.136801541425818</v>
      </c>
      <c r="AD21">
        <v>0.62515262515262515</v>
      </c>
      <c r="AE21">
        <v>0.60176557135850905</v>
      </c>
      <c r="AF21">
        <v>512</v>
      </c>
      <c r="AG21">
        <v>2454</v>
      </c>
      <c r="AH21">
        <v>0.36141636141636141</v>
      </c>
      <c r="AI21">
        <v>0.37788131436978911</v>
      </c>
      <c r="AJ21">
        <v>296</v>
      </c>
      <c r="AK21">
        <v>1541</v>
      </c>
      <c r="AL21">
        <v>1.221001221001221E-2</v>
      </c>
      <c r="AM21">
        <v>1.8391368317802845E-2</v>
      </c>
      <c r="AN21">
        <v>10</v>
      </c>
      <c r="AO21">
        <v>75</v>
      </c>
      <c r="AP21">
        <v>0</v>
      </c>
      <c r="AQ21">
        <v>0</v>
      </c>
      <c r="AR21">
        <v>0</v>
      </c>
      <c r="AS21">
        <v>0</v>
      </c>
      <c r="AT21">
        <v>1.221001221001221E-3</v>
      </c>
      <c r="AU21">
        <v>1.9617459538989702E-3</v>
      </c>
      <c r="AV21">
        <v>1</v>
      </c>
      <c r="AW21">
        <v>8</v>
      </c>
      <c r="AX21">
        <v>0</v>
      </c>
      <c r="AY21">
        <v>0</v>
      </c>
      <c r="AZ21">
        <v>0</v>
      </c>
      <c r="BA21">
        <v>0</v>
      </c>
      <c r="BB21">
        <v>0.28358208955223879</v>
      </c>
      <c r="BC21">
        <v>8.2686567164179099</v>
      </c>
      <c r="BD21">
        <v>7.4626865671641784E-2</v>
      </c>
      <c r="BE21">
        <v>1.5970149253731343</v>
      </c>
      <c r="BF21">
        <v>0</v>
      </c>
      <c r="BG21" s="116" t="s">
        <v>187</v>
      </c>
      <c r="BH21">
        <v>0.31021194605009633</v>
      </c>
      <c r="BI21">
        <v>7.2292870905587669</v>
      </c>
      <c r="BJ21">
        <v>6.1657032755298651E-2</v>
      </c>
      <c r="BK21">
        <v>1.3333333333333333</v>
      </c>
      <c r="BL21">
        <v>0</v>
      </c>
      <c r="BM21">
        <v>0</v>
      </c>
      <c r="BN21">
        <v>0.16593886462882096</v>
      </c>
      <c r="BO21">
        <v>0.27024722932651324</v>
      </c>
      <c r="BP21">
        <v>38</v>
      </c>
      <c r="BQ21">
        <v>634</v>
      </c>
      <c r="BR21">
        <v>0.16593886462882096</v>
      </c>
      <c r="BS21">
        <v>0.15942028985507245</v>
      </c>
      <c r="BT21">
        <v>38</v>
      </c>
      <c r="BU21">
        <v>374</v>
      </c>
      <c r="BV21">
        <v>3.4934497816593885E-2</v>
      </c>
      <c r="BW21">
        <v>5.7971014492753624E-2</v>
      </c>
      <c r="BX21">
        <v>8</v>
      </c>
      <c r="BY21">
        <v>136</v>
      </c>
      <c r="BZ21">
        <v>8.296943231441048E-2</v>
      </c>
      <c r="CA21">
        <v>6.1381074168797956E-2</v>
      </c>
      <c r="CB21">
        <v>19</v>
      </c>
      <c r="CC21">
        <v>144</v>
      </c>
      <c r="CD21">
        <v>0.12663755458515283</v>
      </c>
      <c r="CE21">
        <v>4.6035805626598467E-2</v>
      </c>
      <c r="CF21">
        <v>29</v>
      </c>
      <c r="CG21">
        <v>108</v>
      </c>
      <c r="CH21">
        <v>2.1834061135371178E-2</v>
      </c>
      <c r="CI21">
        <v>3.7084398976982097E-2</v>
      </c>
      <c r="CJ21">
        <v>5</v>
      </c>
      <c r="CK21">
        <v>87</v>
      </c>
      <c r="CL21">
        <v>0</v>
      </c>
      <c r="CM21">
        <v>0</v>
      </c>
      <c r="CN21">
        <v>0</v>
      </c>
      <c r="CO21">
        <v>0</v>
      </c>
      <c r="CP21">
        <v>4.3668122270742356E-3</v>
      </c>
      <c r="CQ21">
        <v>3.239556692242114E-2</v>
      </c>
      <c r="CR21">
        <v>1</v>
      </c>
      <c r="CS21">
        <v>76</v>
      </c>
      <c r="CT21">
        <v>8.296943231441048E-2</v>
      </c>
      <c r="CU21">
        <v>5.285592497868713E-2</v>
      </c>
      <c r="CV21">
        <v>19</v>
      </c>
      <c r="CW21">
        <v>124</v>
      </c>
      <c r="CX21">
        <v>0.27510917030567683</v>
      </c>
      <c r="CY21">
        <v>0.25191815856777494</v>
      </c>
      <c r="CZ21">
        <v>63</v>
      </c>
      <c r="DA21">
        <v>591</v>
      </c>
      <c r="DB21">
        <v>3.9301310043668214E-2</v>
      </c>
      <c r="DC21">
        <v>3.0690537084398839E-2</v>
      </c>
      <c r="DD21">
        <v>9.0000000000000213</v>
      </c>
      <c r="DE21">
        <v>150.15789473684245</v>
      </c>
      <c r="DF21">
        <v>0.22388059701492538</v>
      </c>
      <c r="DG21">
        <v>0.10597302504816955</v>
      </c>
      <c r="DH21">
        <v>15</v>
      </c>
      <c r="DI21">
        <v>55</v>
      </c>
      <c r="DJ21">
        <v>4.4776119402985072E-2</v>
      </c>
      <c r="DK21">
        <v>5.0096339113680152E-2</v>
      </c>
      <c r="DL21">
        <v>3</v>
      </c>
      <c r="DM21">
        <v>26</v>
      </c>
      <c r="DN21">
        <v>5.9701492537313432E-2</v>
      </c>
      <c r="DO21">
        <v>0.13680154142581888</v>
      </c>
      <c r="DP21">
        <v>4</v>
      </c>
      <c r="DQ21">
        <v>71</v>
      </c>
      <c r="DR21">
        <v>2.9850746268656716E-2</v>
      </c>
      <c r="DS21">
        <v>1.9267822736030827E-2</v>
      </c>
      <c r="DT21">
        <v>2</v>
      </c>
      <c r="DU21">
        <v>10</v>
      </c>
      <c r="DV21">
        <v>1.4925373134328358E-2</v>
      </c>
      <c r="DW21">
        <v>9.8265895953757232E-2</v>
      </c>
      <c r="DX21">
        <v>1</v>
      </c>
      <c r="DY21">
        <v>51</v>
      </c>
      <c r="DZ21">
        <v>0.14925373134328357</v>
      </c>
      <c r="EA21">
        <v>9.6339113680154145E-2</v>
      </c>
      <c r="EB21">
        <v>10</v>
      </c>
      <c r="EC21">
        <v>50</v>
      </c>
      <c r="ED21">
        <v>0.34328358208955223</v>
      </c>
      <c r="EE21">
        <v>0.42003853564547206</v>
      </c>
      <c r="EF21">
        <v>23</v>
      </c>
      <c r="EG21">
        <v>218</v>
      </c>
      <c r="EH21">
        <v>0.13432835820895528</v>
      </c>
      <c r="EI21">
        <v>7.3217726396917149E-2</v>
      </c>
      <c r="EJ21">
        <v>9.0000000000000036</v>
      </c>
      <c r="EK21">
        <v>38</v>
      </c>
      <c r="EL21">
        <v>4.4776119402985072E-2</v>
      </c>
      <c r="EM21">
        <v>9.8265895953757232E-2</v>
      </c>
      <c r="EN21">
        <v>3</v>
      </c>
      <c r="EO21">
        <v>51</v>
      </c>
      <c r="EP21">
        <v>0</v>
      </c>
      <c r="EQ21">
        <v>7.7071290944123308E-2</v>
      </c>
      <c r="ER21">
        <v>0</v>
      </c>
      <c r="ES21">
        <v>40</v>
      </c>
      <c r="ET21">
        <v>0.13432835820895522</v>
      </c>
      <c r="EU21">
        <v>0.50289017341040465</v>
      </c>
      <c r="EV21">
        <v>9</v>
      </c>
      <c r="EW21">
        <v>261</v>
      </c>
      <c r="EX21">
        <v>0.31343283582089554</v>
      </c>
      <c r="EY21">
        <v>4.046242774566474E-2</v>
      </c>
      <c r="EZ21">
        <v>21</v>
      </c>
      <c r="FA21">
        <v>21</v>
      </c>
      <c r="FB21">
        <v>0</v>
      </c>
      <c r="FC21">
        <v>7.7071290944123308E-2</v>
      </c>
      <c r="FD21">
        <v>0</v>
      </c>
      <c r="FE21">
        <v>40</v>
      </c>
      <c r="FF21">
        <v>0.5074626865671642</v>
      </c>
      <c r="FG21">
        <v>0.16955684007707128</v>
      </c>
      <c r="FH21">
        <v>34</v>
      </c>
      <c r="FI21">
        <v>88</v>
      </c>
      <c r="FJ21">
        <v>0</v>
      </c>
      <c r="FK21">
        <v>3.4682080924855488E-2</v>
      </c>
      <c r="FL21">
        <v>0</v>
      </c>
      <c r="FM21">
        <v>18</v>
      </c>
      <c r="FN21">
        <v>29</v>
      </c>
      <c r="FO21">
        <v>108</v>
      </c>
      <c r="FP21">
        <v>29</v>
      </c>
      <c r="FQ21">
        <v>108</v>
      </c>
      <c r="FR21">
        <v>0</v>
      </c>
      <c r="FS21">
        <v>7.407407407407407E-2</v>
      </c>
      <c r="FT21">
        <v>0</v>
      </c>
      <c r="FU21">
        <v>8</v>
      </c>
      <c r="FV21">
        <v>0</v>
      </c>
      <c r="FW21">
        <v>0</v>
      </c>
      <c r="FX21">
        <v>0</v>
      </c>
      <c r="FY21">
        <v>0</v>
      </c>
      <c r="FZ21">
        <v>3.4482758620689655E-2</v>
      </c>
      <c r="GA21">
        <v>0.45370370370370372</v>
      </c>
      <c r="GB21">
        <v>1</v>
      </c>
      <c r="GC21">
        <v>49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2.7777777777777776E-2</v>
      </c>
      <c r="GJ21">
        <v>0</v>
      </c>
      <c r="GK21">
        <v>3</v>
      </c>
      <c r="GL21">
        <v>0.96551724137931039</v>
      </c>
      <c r="GM21">
        <v>0.37962962962962965</v>
      </c>
      <c r="GN21">
        <v>28</v>
      </c>
      <c r="GO21">
        <v>41</v>
      </c>
      <c r="GP21">
        <v>0</v>
      </c>
      <c r="GQ21">
        <v>6.4814814814814811E-2</v>
      </c>
      <c r="GR21">
        <v>0</v>
      </c>
      <c r="GS21">
        <v>7</v>
      </c>
      <c r="GT21">
        <v>1.4925373134328358E-2</v>
      </c>
      <c r="GU21">
        <v>4.6242774566473986E-2</v>
      </c>
      <c r="GV21">
        <v>1</v>
      </c>
      <c r="GW21">
        <v>24</v>
      </c>
      <c r="GX21">
        <v>0.1044776119402985</v>
      </c>
      <c r="GY21">
        <v>6.5510597302504817E-2</v>
      </c>
      <c r="GZ21">
        <v>7</v>
      </c>
      <c r="HA21">
        <v>34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0</v>
      </c>
      <c r="HJ21">
        <v>0</v>
      </c>
      <c r="HK21">
        <v>0</v>
      </c>
      <c r="HL21">
        <v>0</v>
      </c>
      <c r="HM21">
        <v>0</v>
      </c>
      <c r="HN21">
        <v>0</v>
      </c>
      <c r="HO21">
        <v>0</v>
      </c>
      <c r="HP21">
        <v>0</v>
      </c>
      <c r="HQ21">
        <v>0</v>
      </c>
      <c r="HR21">
        <v>0.83582089552238803</v>
      </c>
      <c r="HS21">
        <v>0.8554913294797688</v>
      </c>
      <c r="HT21">
        <v>56</v>
      </c>
      <c r="HU21">
        <v>444</v>
      </c>
      <c r="HV21">
        <v>4.4776119402985072E-2</v>
      </c>
      <c r="HW21">
        <v>3.2755298651252408E-2</v>
      </c>
      <c r="HX21">
        <v>3</v>
      </c>
      <c r="HY21">
        <v>17</v>
      </c>
      <c r="HZ21">
        <v>0.38095238095238093</v>
      </c>
      <c r="IA21">
        <v>0.47619047619047616</v>
      </c>
      <c r="IB21">
        <v>8</v>
      </c>
      <c r="IC21">
        <v>80</v>
      </c>
      <c r="ID21">
        <v>4.7619047619047616E-2</v>
      </c>
      <c r="IE21">
        <v>0.18452380952380953</v>
      </c>
      <c r="IF21">
        <v>1</v>
      </c>
      <c r="IG21">
        <v>31</v>
      </c>
      <c r="IH21">
        <v>0.14285714285714285</v>
      </c>
      <c r="II21">
        <v>4.7619047619047616E-2</v>
      </c>
      <c r="IJ21">
        <v>3</v>
      </c>
      <c r="IK21">
        <v>8</v>
      </c>
      <c r="IL21">
        <v>0</v>
      </c>
      <c r="IM21">
        <v>2.976190476190476E-2</v>
      </c>
      <c r="IN21">
        <v>0</v>
      </c>
      <c r="IO21">
        <v>5</v>
      </c>
      <c r="IP21">
        <v>0.42857142857142855</v>
      </c>
      <c r="IQ21">
        <v>0.26190476190476192</v>
      </c>
      <c r="IR21">
        <v>9</v>
      </c>
      <c r="IS21">
        <v>44</v>
      </c>
      <c r="IT21">
        <v>51.9375</v>
      </c>
      <c r="IU21">
        <v>73.745614035087726</v>
      </c>
      <c r="IV21">
        <v>0.4375</v>
      </c>
      <c r="IW21">
        <v>0.53508771929824561</v>
      </c>
      <c r="IX21">
        <v>7</v>
      </c>
      <c r="IY21">
        <v>61</v>
      </c>
      <c r="IZ21">
        <v>6.25E-2</v>
      </c>
      <c r="JA21">
        <v>0.14035087719298245</v>
      </c>
      <c r="JB21">
        <v>1</v>
      </c>
      <c r="JC21">
        <v>16</v>
      </c>
      <c r="JD21">
        <v>0.125</v>
      </c>
      <c r="JE21">
        <v>6.1403508771929821E-2</v>
      </c>
      <c r="JF21">
        <v>2</v>
      </c>
      <c r="JG21">
        <v>7</v>
      </c>
      <c r="JH21">
        <v>0</v>
      </c>
      <c r="JI21">
        <v>1.7543859649122806E-2</v>
      </c>
      <c r="JJ21">
        <v>0</v>
      </c>
      <c r="JK21">
        <v>2</v>
      </c>
      <c r="JL21">
        <v>0.375</v>
      </c>
      <c r="JM21">
        <v>0.24561403508771928</v>
      </c>
      <c r="JN21">
        <v>6</v>
      </c>
      <c r="JO21">
        <v>28</v>
      </c>
      <c r="JP21">
        <v>0</v>
      </c>
      <c r="JQ21">
        <v>0.2</v>
      </c>
      <c r="JR21">
        <v>0</v>
      </c>
      <c r="JS21">
        <v>6</v>
      </c>
      <c r="JT21">
        <v>0.8</v>
      </c>
      <c r="JU21">
        <v>0.66666666666666663</v>
      </c>
      <c r="JV21">
        <v>4</v>
      </c>
      <c r="JW21">
        <v>20</v>
      </c>
      <c r="JX21">
        <v>0</v>
      </c>
      <c r="JY21">
        <v>0</v>
      </c>
      <c r="JZ21">
        <v>0</v>
      </c>
      <c r="KA21">
        <v>0</v>
      </c>
      <c r="KB21">
        <v>0</v>
      </c>
      <c r="KC21">
        <v>0</v>
      </c>
      <c r="KD21">
        <v>0</v>
      </c>
      <c r="KE21">
        <v>0</v>
      </c>
      <c r="KF21">
        <v>0.19999999999999996</v>
      </c>
      <c r="KG21">
        <v>0.1333333333333333</v>
      </c>
      <c r="KH21">
        <v>1</v>
      </c>
      <c r="KI21">
        <v>4</v>
      </c>
      <c r="KJ21">
        <v>0</v>
      </c>
      <c r="KK21">
        <v>0.1</v>
      </c>
      <c r="KL21">
        <v>0</v>
      </c>
      <c r="KM21">
        <v>3</v>
      </c>
      <c r="KN21">
        <v>0.2</v>
      </c>
      <c r="KO21">
        <v>0.23333333333333334</v>
      </c>
      <c r="KP21">
        <v>1</v>
      </c>
      <c r="KQ21">
        <v>7</v>
      </c>
      <c r="KR21">
        <v>0.6</v>
      </c>
      <c r="KS21">
        <v>0.13333333333333333</v>
      </c>
      <c r="KT21">
        <v>3</v>
      </c>
      <c r="KU21">
        <v>4</v>
      </c>
      <c r="KV21">
        <v>0</v>
      </c>
      <c r="KW21">
        <v>0.16666666666666666</v>
      </c>
      <c r="KX21">
        <v>0</v>
      </c>
      <c r="KY21">
        <v>5</v>
      </c>
      <c r="KZ21">
        <v>0.19999999999999996</v>
      </c>
      <c r="LA21">
        <v>0.3666666666666667</v>
      </c>
      <c r="LB21">
        <v>1</v>
      </c>
      <c r="LC21">
        <v>11</v>
      </c>
      <c r="LD21">
        <v>0.28358208955223879</v>
      </c>
      <c r="LE21">
        <v>0.2537313432835821</v>
      </c>
      <c r="LF21">
        <v>1.4925373134328358E-2</v>
      </c>
      <c r="LG21">
        <v>1.4925373134328346E-2</v>
      </c>
      <c r="LH21">
        <v>0.39691714836223507</v>
      </c>
      <c r="LI21">
        <v>0.34874759152215801</v>
      </c>
      <c r="LJ21">
        <v>9.6339113680154135E-3</v>
      </c>
      <c r="LK21">
        <v>3.8535645472061675E-2</v>
      </c>
    </row>
    <row r="22" spans="1:323" x14ac:dyDescent="0.25">
      <c r="A22" t="s">
        <v>14</v>
      </c>
      <c r="B22" t="s">
        <v>58</v>
      </c>
      <c r="C22" t="s">
        <v>172</v>
      </c>
      <c r="D22">
        <v>1.3071895424836602E-2</v>
      </c>
      <c r="E22">
        <v>6.8627450980392163E-2</v>
      </c>
      <c r="F22">
        <v>0.21895424836601307</v>
      </c>
      <c r="G22">
        <v>0.44444444444444442</v>
      </c>
      <c r="H22">
        <v>0.25490196078431371</v>
      </c>
      <c r="I22">
        <v>1.1579818031430935E-2</v>
      </c>
      <c r="J22">
        <v>6.1621174524400329E-2</v>
      </c>
      <c r="K22">
        <v>0.21464019851116625</v>
      </c>
      <c r="L22">
        <v>0.44582299421009097</v>
      </c>
      <c r="M22">
        <v>0.26633581472291151</v>
      </c>
      <c r="N22">
        <v>0.67647058823529416</v>
      </c>
      <c r="O22">
        <v>0.32352941176470584</v>
      </c>
      <c r="P22">
        <v>0.74953617810760664</v>
      </c>
      <c r="Q22">
        <v>0.25046382189239336</v>
      </c>
      <c r="R22">
        <v>136</v>
      </c>
      <c r="S22">
        <v>66.507352941176464</v>
      </c>
      <c r="T22">
        <v>8</v>
      </c>
      <c r="U22">
        <v>14.125</v>
      </c>
      <c r="V22">
        <v>3.75</v>
      </c>
      <c r="W22">
        <v>29.566176470588236</v>
      </c>
      <c r="X22">
        <v>1078</v>
      </c>
      <c r="Y22">
        <v>66.545454545454547</v>
      </c>
      <c r="Z22">
        <v>117</v>
      </c>
      <c r="AA22">
        <v>11.397959183673469</v>
      </c>
      <c r="AB22">
        <v>4.1419294990723561</v>
      </c>
      <c r="AC22">
        <v>33.974953617810762</v>
      </c>
      <c r="AD22">
        <v>0.56725146198830412</v>
      </c>
      <c r="AE22">
        <v>0.54749015748031493</v>
      </c>
      <c r="AF22">
        <v>873</v>
      </c>
      <c r="AG22">
        <v>4450</v>
      </c>
      <c r="AH22">
        <v>0.4061078622482131</v>
      </c>
      <c r="AI22">
        <v>0.43085629921259844</v>
      </c>
      <c r="AJ22">
        <v>625</v>
      </c>
      <c r="AK22">
        <v>3502</v>
      </c>
      <c r="AL22">
        <v>2.1442495126705652E-2</v>
      </c>
      <c r="AM22">
        <v>1.7470472440944882E-2</v>
      </c>
      <c r="AN22">
        <v>33</v>
      </c>
      <c r="AO22">
        <v>142</v>
      </c>
      <c r="AP22">
        <v>1.9493177387914229E-3</v>
      </c>
      <c r="AQ22">
        <v>1.3533464566929134E-3</v>
      </c>
      <c r="AR22">
        <v>3</v>
      </c>
      <c r="AS22">
        <v>11</v>
      </c>
      <c r="AT22">
        <v>2.5990903183885639E-3</v>
      </c>
      <c r="AU22">
        <v>2.7066929133858267E-3</v>
      </c>
      <c r="AV22">
        <v>4</v>
      </c>
      <c r="AW22">
        <v>22</v>
      </c>
      <c r="AX22">
        <v>6.4977257959714096E-4</v>
      </c>
      <c r="AY22">
        <v>1.2303149606299212E-4</v>
      </c>
      <c r="AZ22">
        <v>1</v>
      </c>
      <c r="BA22">
        <v>1</v>
      </c>
      <c r="BB22">
        <v>0.41911764705882354</v>
      </c>
      <c r="BC22">
        <v>11.088235294117647</v>
      </c>
      <c r="BD22">
        <v>0.13235294117647059</v>
      </c>
      <c r="BE22">
        <v>4.6397058823529411</v>
      </c>
      <c r="BF22">
        <v>0</v>
      </c>
      <c r="BG22" s="116" t="s">
        <v>187</v>
      </c>
      <c r="BH22">
        <v>0.3432282003710575</v>
      </c>
      <c r="BI22">
        <v>8.3079777365491658</v>
      </c>
      <c r="BJ22">
        <v>6.4007421150278299E-2</v>
      </c>
      <c r="BK22">
        <v>1.5213358070500929</v>
      </c>
      <c r="BL22">
        <v>7.4211502782931356E-3</v>
      </c>
      <c r="BM22">
        <v>0.13636363636363635</v>
      </c>
      <c r="BN22">
        <v>0.14117647058823529</v>
      </c>
      <c r="BO22">
        <v>0.19955207166853303</v>
      </c>
      <c r="BP22">
        <v>72</v>
      </c>
      <c r="BQ22">
        <v>891</v>
      </c>
      <c r="BR22">
        <v>0.14901960784313725</v>
      </c>
      <c r="BS22">
        <v>0.18096304591265397</v>
      </c>
      <c r="BT22">
        <v>76</v>
      </c>
      <c r="BU22">
        <v>808</v>
      </c>
      <c r="BV22">
        <v>6.0784313725490195E-2</v>
      </c>
      <c r="BW22">
        <v>5.4647256438969762E-2</v>
      </c>
      <c r="BX22">
        <v>31</v>
      </c>
      <c r="BY22">
        <v>244</v>
      </c>
      <c r="BZ22">
        <v>9.0196078431372548E-2</v>
      </c>
      <c r="CA22">
        <v>6.2933930571108618E-2</v>
      </c>
      <c r="CB22">
        <v>46</v>
      </c>
      <c r="CC22">
        <v>281</v>
      </c>
      <c r="CD22">
        <v>0.10196078431372549</v>
      </c>
      <c r="CE22">
        <v>5.6886898096304594E-2</v>
      </c>
      <c r="CF22">
        <v>52</v>
      </c>
      <c r="CG22">
        <v>254</v>
      </c>
      <c r="CH22">
        <v>3.7254901960784313E-2</v>
      </c>
      <c r="CI22">
        <v>4.0985442329227323E-2</v>
      </c>
      <c r="CJ22">
        <v>19</v>
      </c>
      <c r="CK22">
        <v>183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2.553191489361702E-2</v>
      </c>
      <c r="CR22">
        <v>0</v>
      </c>
      <c r="CS22">
        <v>114</v>
      </c>
      <c r="CT22">
        <v>7.0588235294117646E-2</v>
      </c>
      <c r="CU22">
        <v>5.3751399776035831E-2</v>
      </c>
      <c r="CV22">
        <v>36</v>
      </c>
      <c r="CW22">
        <v>240</v>
      </c>
      <c r="CX22">
        <v>0.32745098039215687</v>
      </c>
      <c r="CY22">
        <v>0.29832026875699891</v>
      </c>
      <c r="CZ22">
        <v>167</v>
      </c>
      <c r="DA22">
        <v>1332</v>
      </c>
      <c r="DB22">
        <v>2.1568627450980538E-2</v>
      </c>
      <c r="DC22">
        <v>2.642777155655085E-2</v>
      </c>
      <c r="DD22">
        <v>11.000000000000075</v>
      </c>
      <c r="DE22">
        <v>136.12500000000091</v>
      </c>
      <c r="DF22">
        <v>0.18382352941176472</v>
      </c>
      <c r="DG22">
        <v>9.9257884972170682E-2</v>
      </c>
      <c r="DH22">
        <v>25</v>
      </c>
      <c r="DI22">
        <v>107</v>
      </c>
      <c r="DJ22">
        <v>2.9411764705882353E-2</v>
      </c>
      <c r="DK22">
        <v>5.1948051948051951E-2</v>
      </c>
      <c r="DL22">
        <v>4</v>
      </c>
      <c r="DM22">
        <v>56</v>
      </c>
      <c r="DN22">
        <v>0.11029411764705882</v>
      </c>
      <c r="DO22">
        <v>0.13358070500927643</v>
      </c>
      <c r="DP22">
        <v>15</v>
      </c>
      <c r="DQ22">
        <v>144</v>
      </c>
      <c r="DR22">
        <v>2.9411764705882353E-2</v>
      </c>
      <c r="DS22">
        <v>2.8756957328385901E-2</v>
      </c>
      <c r="DT22">
        <v>4</v>
      </c>
      <c r="DU22">
        <v>31</v>
      </c>
      <c r="DV22">
        <v>3.6764705882352942E-2</v>
      </c>
      <c r="DW22">
        <v>6.4007421150278299E-2</v>
      </c>
      <c r="DX22">
        <v>5</v>
      </c>
      <c r="DY22">
        <v>69</v>
      </c>
      <c r="DZ22">
        <v>0.13970588235294118</v>
      </c>
      <c r="EA22">
        <v>0.1038961038961039</v>
      </c>
      <c r="EB22">
        <v>19</v>
      </c>
      <c r="EC22">
        <v>112</v>
      </c>
      <c r="ED22">
        <v>0.36764705882352944</v>
      </c>
      <c r="EE22">
        <v>0.44434137291280146</v>
      </c>
      <c r="EF22">
        <v>50</v>
      </c>
      <c r="EG22">
        <v>479</v>
      </c>
      <c r="EH22">
        <v>0.1029411764705882</v>
      </c>
      <c r="EI22">
        <v>7.4211502782931316E-2</v>
      </c>
      <c r="EJ22">
        <v>13.999999999999995</v>
      </c>
      <c r="EK22">
        <v>79.999999999999957</v>
      </c>
      <c r="EL22">
        <v>3.6764705882352942E-2</v>
      </c>
      <c r="EM22">
        <v>9.5547309833024119E-2</v>
      </c>
      <c r="EN22">
        <v>5</v>
      </c>
      <c r="EO22">
        <v>103</v>
      </c>
      <c r="EP22">
        <v>0</v>
      </c>
      <c r="EQ22">
        <v>8.1632653061224483E-2</v>
      </c>
      <c r="ER22">
        <v>0</v>
      </c>
      <c r="ES22">
        <v>88</v>
      </c>
      <c r="ET22">
        <v>0.13235294117647059</v>
      </c>
      <c r="EU22">
        <v>0.50371057513914652</v>
      </c>
      <c r="EV22">
        <v>18</v>
      </c>
      <c r="EW22">
        <v>543</v>
      </c>
      <c r="EX22">
        <v>0.35294117647058826</v>
      </c>
      <c r="EY22">
        <v>4.6382189239332093E-2</v>
      </c>
      <c r="EZ22">
        <v>48</v>
      </c>
      <c r="FA22">
        <v>50</v>
      </c>
      <c r="FB22">
        <v>0</v>
      </c>
      <c r="FC22">
        <v>6.5862708719851573E-2</v>
      </c>
      <c r="FD22">
        <v>0</v>
      </c>
      <c r="FE22">
        <v>71</v>
      </c>
      <c r="FF22">
        <v>0.46323529411764708</v>
      </c>
      <c r="FG22">
        <v>0.14935064935064934</v>
      </c>
      <c r="FH22">
        <v>63</v>
      </c>
      <c r="FI22">
        <v>161</v>
      </c>
      <c r="FJ22">
        <v>1.4705882352941176E-2</v>
      </c>
      <c r="FK22">
        <v>5.7513914656771803E-2</v>
      </c>
      <c r="FL22">
        <v>2</v>
      </c>
      <c r="FM22">
        <v>62</v>
      </c>
      <c r="FN22">
        <v>52</v>
      </c>
      <c r="FO22">
        <v>254</v>
      </c>
      <c r="FP22">
        <v>52</v>
      </c>
      <c r="FQ22">
        <v>254</v>
      </c>
      <c r="FR22">
        <v>0</v>
      </c>
      <c r="FS22">
        <v>7.874015748031496E-2</v>
      </c>
      <c r="FT22">
        <v>0</v>
      </c>
      <c r="FU22">
        <v>20</v>
      </c>
      <c r="FV22">
        <v>0</v>
      </c>
      <c r="FW22">
        <v>0</v>
      </c>
      <c r="FX22">
        <v>0</v>
      </c>
      <c r="FY22">
        <v>0</v>
      </c>
      <c r="FZ22">
        <v>5.7692307692307696E-2</v>
      </c>
      <c r="GA22">
        <v>0.48031496062992124</v>
      </c>
      <c r="GB22">
        <v>3</v>
      </c>
      <c r="GC22">
        <v>122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5.1181102362204724E-2</v>
      </c>
      <c r="GJ22">
        <v>0</v>
      </c>
      <c r="GK22">
        <v>13</v>
      </c>
      <c r="GL22">
        <v>0.92307692307692313</v>
      </c>
      <c r="GM22">
        <v>0.29527559055118108</v>
      </c>
      <c r="GN22">
        <v>48</v>
      </c>
      <c r="GO22">
        <v>75</v>
      </c>
      <c r="GP22">
        <v>1.9230769230769232E-2</v>
      </c>
      <c r="GQ22">
        <v>9.4488188976377951E-2</v>
      </c>
      <c r="GR22">
        <v>1</v>
      </c>
      <c r="GS22">
        <v>24</v>
      </c>
      <c r="GT22">
        <v>2.2058823529411766E-2</v>
      </c>
      <c r="GU22">
        <v>3.7105751391465679E-2</v>
      </c>
      <c r="GV22">
        <v>3</v>
      </c>
      <c r="GW22">
        <v>40</v>
      </c>
      <c r="GX22">
        <v>9.5588235294117641E-2</v>
      </c>
      <c r="GY22">
        <v>7.2356215213358069E-2</v>
      </c>
      <c r="GZ22">
        <v>13</v>
      </c>
      <c r="HA22">
        <v>78</v>
      </c>
      <c r="HB22">
        <v>7.3529411764705881E-3</v>
      </c>
      <c r="HC22">
        <v>9.2764378478664194E-4</v>
      </c>
      <c r="HD22">
        <v>1</v>
      </c>
      <c r="HE22">
        <v>1</v>
      </c>
      <c r="HF22">
        <v>0</v>
      </c>
      <c r="HG22">
        <v>9.2764378478664194E-4</v>
      </c>
      <c r="HH22">
        <v>0</v>
      </c>
      <c r="HI22">
        <v>1</v>
      </c>
      <c r="HJ22">
        <v>0</v>
      </c>
      <c r="HK22">
        <v>0</v>
      </c>
      <c r="HL22">
        <v>0</v>
      </c>
      <c r="HM22">
        <v>0</v>
      </c>
      <c r="HN22">
        <v>0</v>
      </c>
      <c r="HO22">
        <v>0</v>
      </c>
      <c r="HP22">
        <v>0</v>
      </c>
      <c r="HQ22">
        <v>0</v>
      </c>
      <c r="HR22">
        <v>0.80882352941176472</v>
      </c>
      <c r="HS22">
        <v>0.81168831168831168</v>
      </c>
      <c r="HT22">
        <v>110</v>
      </c>
      <c r="HU22">
        <v>875</v>
      </c>
      <c r="HV22">
        <v>6.6176470588235295E-2</v>
      </c>
      <c r="HW22">
        <v>7.6994434137291276E-2</v>
      </c>
      <c r="HX22">
        <v>9</v>
      </c>
      <c r="HY22">
        <v>83</v>
      </c>
      <c r="HZ22">
        <v>0.59322033898305082</v>
      </c>
      <c r="IA22">
        <v>0.4921875</v>
      </c>
      <c r="IB22">
        <v>35</v>
      </c>
      <c r="IC22">
        <v>189</v>
      </c>
      <c r="ID22">
        <v>0.11864406779661017</v>
      </c>
      <c r="IE22">
        <v>0.16927083333333334</v>
      </c>
      <c r="IF22">
        <v>7</v>
      </c>
      <c r="IG22">
        <v>65</v>
      </c>
      <c r="IH22">
        <v>6.7796610169491525E-2</v>
      </c>
      <c r="II22">
        <v>5.46875E-2</v>
      </c>
      <c r="IJ22">
        <v>4</v>
      </c>
      <c r="IK22">
        <v>21</v>
      </c>
      <c r="IL22">
        <v>1.6949152542372881E-2</v>
      </c>
      <c r="IM22">
        <v>4.9479166666666664E-2</v>
      </c>
      <c r="IN22">
        <v>1</v>
      </c>
      <c r="IO22">
        <v>19</v>
      </c>
      <c r="IP22">
        <v>0.20338983050847459</v>
      </c>
      <c r="IQ22">
        <v>0.234375</v>
      </c>
      <c r="IR22">
        <v>12</v>
      </c>
      <c r="IS22">
        <v>90</v>
      </c>
      <c r="IT22">
        <v>71.048780487804876</v>
      </c>
      <c r="IU22">
        <v>73.793893129770993</v>
      </c>
      <c r="IV22">
        <v>0.6097560975609756</v>
      </c>
      <c r="IW22">
        <v>0.58778625954198471</v>
      </c>
      <c r="IX22">
        <v>25</v>
      </c>
      <c r="IY22">
        <v>154</v>
      </c>
      <c r="IZ22">
        <v>0.14634146341463414</v>
      </c>
      <c r="JA22">
        <v>0.14503816793893129</v>
      </c>
      <c r="JB22">
        <v>6</v>
      </c>
      <c r="JC22">
        <v>38</v>
      </c>
      <c r="JD22">
        <v>4.878048780487805E-2</v>
      </c>
      <c r="JE22">
        <v>5.7251908396946563E-2</v>
      </c>
      <c r="JF22">
        <v>2</v>
      </c>
      <c r="JG22">
        <v>15</v>
      </c>
      <c r="JH22">
        <v>2.4390243902439025E-2</v>
      </c>
      <c r="JI22">
        <v>3.8167938931297711E-2</v>
      </c>
      <c r="JJ22">
        <v>1</v>
      </c>
      <c r="JK22">
        <v>10</v>
      </c>
      <c r="JL22">
        <v>0.17073170731707318</v>
      </c>
      <c r="JM22">
        <v>0.1717557251908397</v>
      </c>
      <c r="JN22">
        <v>7</v>
      </c>
      <c r="JO22">
        <v>45</v>
      </c>
      <c r="JP22">
        <v>0.1111111111111111</v>
      </c>
      <c r="JQ22">
        <v>5.6338028169014086E-2</v>
      </c>
      <c r="JR22">
        <v>2</v>
      </c>
      <c r="JS22">
        <v>4</v>
      </c>
      <c r="JT22">
        <v>0.55555555555555558</v>
      </c>
      <c r="JU22">
        <v>0.647887323943662</v>
      </c>
      <c r="JV22">
        <v>10</v>
      </c>
      <c r="JW22">
        <v>46</v>
      </c>
      <c r="JX22">
        <v>0.22222222222222221</v>
      </c>
      <c r="JY22">
        <v>0.12676056338028169</v>
      </c>
      <c r="JZ22">
        <v>4</v>
      </c>
      <c r="KA22">
        <v>9</v>
      </c>
      <c r="KB22">
        <v>0</v>
      </c>
      <c r="KC22">
        <v>7.0422535211267609E-2</v>
      </c>
      <c r="KD22">
        <v>0</v>
      </c>
      <c r="KE22">
        <v>5</v>
      </c>
      <c r="KF22">
        <v>0.11111111111111105</v>
      </c>
      <c r="KG22">
        <v>9.8591549295774628E-2</v>
      </c>
      <c r="KH22">
        <v>2</v>
      </c>
      <c r="KI22">
        <v>7</v>
      </c>
      <c r="KJ22">
        <v>0.33333333333333331</v>
      </c>
      <c r="KK22">
        <v>0.21126760563380281</v>
      </c>
      <c r="KL22">
        <v>6</v>
      </c>
      <c r="KM22">
        <v>15</v>
      </c>
      <c r="KN22">
        <v>0.22222222222222221</v>
      </c>
      <c r="KO22">
        <v>0.14084507042253522</v>
      </c>
      <c r="KP22">
        <v>4</v>
      </c>
      <c r="KQ22">
        <v>10</v>
      </c>
      <c r="KR22">
        <v>0.1111111111111111</v>
      </c>
      <c r="KS22">
        <v>0.19718309859154928</v>
      </c>
      <c r="KT22">
        <v>2</v>
      </c>
      <c r="KU22">
        <v>14</v>
      </c>
      <c r="KV22">
        <v>5.5555555555555552E-2</v>
      </c>
      <c r="KW22">
        <v>5.6338028169014086E-2</v>
      </c>
      <c r="KX22">
        <v>1</v>
      </c>
      <c r="KY22">
        <v>4</v>
      </c>
      <c r="KZ22">
        <v>0.27777777777777768</v>
      </c>
      <c r="LA22">
        <v>0.39436619718309862</v>
      </c>
      <c r="LB22">
        <v>5</v>
      </c>
      <c r="LC22">
        <v>28</v>
      </c>
      <c r="LD22">
        <v>0.40441176470588236</v>
      </c>
      <c r="LE22">
        <v>0.34558823529411764</v>
      </c>
      <c r="LF22">
        <v>2.2058823529411766E-2</v>
      </c>
      <c r="LG22">
        <v>3.6764705882352977E-2</v>
      </c>
      <c r="LH22">
        <v>0.41651205936920221</v>
      </c>
      <c r="LI22">
        <v>0.3784786641929499</v>
      </c>
      <c r="LJ22">
        <v>1.1131725417439703E-2</v>
      </c>
      <c r="LK22">
        <v>2.6901669758812585E-2</v>
      </c>
    </row>
    <row r="23" spans="1:323" x14ac:dyDescent="0.25">
      <c r="A23" t="s">
        <v>14</v>
      </c>
      <c r="B23" t="s">
        <v>59</v>
      </c>
      <c r="C23" t="s">
        <v>173</v>
      </c>
      <c r="D23">
        <v>1.3071895424836602E-2</v>
      </c>
      <c r="E23">
        <v>6.8627450980392163E-2</v>
      </c>
      <c r="F23">
        <v>0.21895424836601307</v>
      </c>
      <c r="G23">
        <v>0.44444444444444442</v>
      </c>
      <c r="H23">
        <v>0.25490196078431371</v>
      </c>
      <c r="I23">
        <v>1.1579818031430935E-2</v>
      </c>
      <c r="J23">
        <v>6.1621174524400329E-2</v>
      </c>
      <c r="K23">
        <v>0.21464019851116625</v>
      </c>
      <c r="L23">
        <v>0.44582299421009097</v>
      </c>
      <c r="M23">
        <v>0.26633581472291151</v>
      </c>
      <c r="N23">
        <v>0.69230769230769229</v>
      </c>
      <c r="O23">
        <v>0.30769230769230771</v>
      </c>
      <c r="P23">
        <v>0.7003105590062112</v>
      </c>
      <c r="Q23">
        <v>0.2996894409937888</v>
      </c>
      <c r="R23">
        <v>78</v>
      </c>
      <c r="S23">
        <v>80.692307692307693</v>
      </c>
      <c r="T23">
        <v>18</v>
      </c>
      <c r="U23">
        <v>7.3076923076923075</v>
      </c>
      <c r="V23">
        <v>2.2435897435897436</v>
      </c>
      <c r="W23">
        <v>19.692307692307693</v>
      </c>
      <c r="X23">
        <v>644</v>
      </c>
      <c r="Y23">
        <v>80.83229813664596</v>
      </c>
      <c r="Z23">
        <v>136</v>
      </c>
      <c r="AA23">
        <v>6.2204968944099379</v>
      </c>
      <c r="AB23">
        <v>3.0077639751552794</v>
      </c>
      <c r="AC23">
        <v>25.451863354037268</v>
      </c>
      <c r="AD23">
        <v>0.53530751708428248</v>
      </c>
      <c r="AE23">
        <v>0.68690095846645371</v>
      </c>
      <c r="AF23">
        <v>235</v>
      </c>
      <c r="AG23">
        <v>1505</v>
      </c>
      <c r="AH23">
        <v>0.29840546697038722</v>
      </c>
      <c r="AI23">
        <v>0.25011410314924692</v>
      </c>
      <c r="AJ23">
        <v>131</v>
      </c>
      <c r="AK23">
        <v>548</v>
      </c>
      <c r="AL23">
        <v>2.0501138952164009E-2</v>
      </c>
      <c r="AM23">
        <v>2.4189867640346873E-2</v>
      </c>
      <c r="AN23">
        <v>9</v>
      </c>
      <c r="AO23">
        <v>53</v>
      </c>
      <c r="AP23">
        <v>0.14578587699316628</v>
      </c>
      <c r="AQ23">
        <v>3.8795070743952532E-2</v>
      </c>
      <c r="AR23">
        <v>64</v>
      </c>
      <c r="AS23">
        <v>85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0.42307692307692307</v>
      </c>
      <c r="BC23">
        <v>13.012820512820513</v>
      </c>
      <c r="BD23">
        <v>6.4102564102564097E-2</v>
      </c>
      <c r="BE23">
        <v>5.8589743589743586</v>
      </c>
      <c r="BF23">
        <v>0</v>
      </c>
      <c r="BG23" s="116" t="s">
        <v>187</v>
      </c>
      <c r="BH23">
        <v>0.34937888198757766</v>
      </c>
      <c r="BI23">
        <v>8.9145962732919255</v>
      </c>
      <c r="BJ23">
        <v>6.8322981366459631E-2</v>
      </c>
      <c r="BK23">
        <v>2.4798136645962732</v>
      </c>
      <c r="BL23">
        <v>4.658385093167702E-3</v>
      </c>
      <c r="BM23">
        <v>0.12111801242236025</v>
      </c>
      <c r="BN23">
        <v>2.8571428571428571E-2</v>
      </c>
      <c r="BO23">
        <v>9.2927207021166747E-2</v>
      </c>
      <c r="BP23">
        <v>5</v>
      </c>
      <c r="BQ23">
        <v>180</v>
      </c>
      <c r="BR23">
        <v>0.29142857142857143</v>
      </c>
      <c r="BS23">
        <v>0.27826535880227155</v>
      </c>
      <c r="BT23">
        <v>51</v>
      </c>
      <c r="BU23">
        <v>539</v>
      </c>
      <c r="BV23">
        <v>7.4285714285714288E-2</v>
      </c>
      <c r="BW23">
        <v>7.7955601445534331E-2</v>
      </c>
      <c r="BX23">
        <v>13</v>
      </c>
      <c r="BY23">
        <v>151</v>
      </c>
      <c r="BZ23">
        <v>7.4285714285714288E-2</v>
      </c>
      <c r="CA23">
        <v>4.4914816726897261E-2</v>
      </c>
      <c r="CB23">
        <v>13</v>
      </c>
      <c r="CC23">
        <v>87</v>
      </c>
      <c r="CD23">
        <v>7.4285714285714288E-2</v>
      </c>
      <c r="CE23">
        <v>4.2849767681982447E-2</v>
      </c>
      <c r="CF23">
        <v>13</v>
      </c>
      <c r="CG23">
        <v>83</v>
      </c>
      <c r="CH23">
        <v>5.7142857142857143E-3</v>
      </c>
      <c r="CI23">
        <v>3.4589571502323183E-2</v>
      </c>
      <c r="CJ23">
        <v>1</v>
      </c>
      <c r="CK23">
        <v>67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3.7170882808466699E-2</v>
      </c>
      <c r="CR23">
        <v>0</v>
      </c>
      <c r="CS23">
        <v>72</v>
      </c>
      <c r="CT23">
        <v>0.10857142857142857</v>
      </c>
      <c r="CU23">
        <v>5.7305110996386167E-2</v>
      </c>
      <c r="CV23">
        <v>19</v>
      </c>
      <c r="CW23">
        <v>111</v>
      </c>
      <c r="CX23">
        <v>0.31428571428571428</v>
      </c>
      <c r="CY23">
        <v>0.31078988125967993</v>
      </c>
      <c r="CZ23">
        <v>55</v>
      </c>
      <c r="DA23">
        <v>602</v>
      </c>
      <c r="DB23">
        <v>2.8571428571428581E-2</v>
      </c>
      <c r="DC23">
        <v>2.3231801755291714E-2</v>
      </c>
      <c r="DD23">
        <v>5.0000000000000018</v>
      </c>
      <c r="DE23">
        <v>180.00000000000006</v>
      </c>
      <c r="DF23">
        <v>0.11538461538461539</v>
      </c>
      <c r="DG23">
        <v>6.9875776397515521E-2</v>
      </c>
      <c r="DH23">
        <v>9</v>
      </c>
      <c r="DI23">
        <v>45</v>
      </c>
      <c r="DJ23">
        <v>6.4102564102564097E-2</v>
      </c>
      <c r="DK23">
        <v>2.4844720496894408E-2</v>
      </c>
      <c r="DL23">
        <v>5</v>
      </c>
      <c r="DM23">
        <v>16</v>
      </c>
      <c r="DN23">
        <v>1.282051282051282E-2</v>
      </c>
      <c r="DO23">
        <v>9.3167701863354033E-2</v>
      </c>
      <c r="DP23">
        <v>1</v>
      </c>
      <c r="DQ23">
        <v>60</v>
      </c>
      <c r="DR23">
        <v>6.4102564102564097E-2</v>
      </c>
      <c r="DS23">
        <v>5.5900621118012424E-2</v>
      </c>
      <c r="DT23">
        <v>5</v>
      </c>
      <c r="DU23">
        <v>36</v>
      </c>
      <c r="DV23">
        <v>2.564102564102564E-2</v>
      </c>
      <c r="DW23">
        <v>3.1055900621118012E-2</v>
      </c>
      <c r="DX23">
        <v>2</v>
      </c>
      <c r="DY23">
        <v>20</v>
      </c>
      <c r="DZ23">
        <v>0.10256410256410256</v>
      </c>
      <c r="EA23">
        <v>7.2981366459627328E-2</v>
      </c>
      <c r="EB23">
        <v>8</v>
      </c>
      <c r="EC23">
        <v>47</v>
      </c>
      <c r="ED23">
        <v>0.48717948717948717</v>
      </c>
      <c r="EE23">
        <v>0.59472049689440998</v>
      </c>
      <c r="EF23">
        <v>38</v>
      </c>
      <c r="EG23">
        <v>383</v>
      </c>
      <c r="EH23">
        <v>0.12820512820512819</v>
      </c>
      <c r="EI23">
        <v>5.7453416149068293E-2</v>
      </c>
      <c r="EJ23">
        <v>9.9999999999999982</v>
      </c>
      <c r="EK23">
        <v>36.999999999999986</v>
      </c>
      <c r="EL23">
        <v>1.282051282051282E-2</v>
      </c>
      <c r="EM23">
        <v>0.11801242236024845</v>
      </c>
      <c r="EN23">
        <v>1</v>
      </c>
      <c r="EO23">
        <v>76</v>
      </c>
      <c r="EP23">
        <v>0</v>
      </c>
      <c r="EQ23">
        <v>7.1428571428571425E-2</v>
      </c>
      <c r="ER23">
        <v>0</v>
      </c>
      <c r="ES23">
        <v>46</v>
      </c>
      <c r="ET23">
        <v>6.4102564102564097E-2</v>
      </c>
      <c r="EU23">
        <v>0.41770186335403725</v>
      </c>
      <c r="EV23">
        <v>5</v>
      </c>
      <c r="EW23">
        <v>269</v>
      </c>
      <c r="EX23">
        <v>0.44871794871794873</v>
      </c>
      <c r="EY23">
        <v>5.434782608695652E-2</v>
      </c>
      <c r="EZ23">
        <v>35</v>
      </c>
      <c r="FA23">
        <v>35</v>
      </c>
      <c r="FB23">
        <v>0</v>
      </c>
      <c r="FC23">
        <v>0.10869565217391304</v>
      </c>
      <c r="FD23">
        <v>0</v>
      </c>
      <c r="FE23">
        <v>70</v>
      </c>
      <c r="FF23">
        <v>0.46153846153846156</v>
      </c>
      <c r="FG23">
        <v>0.18012422360248448</v>
      </c>
      <c r="FH23">
        <v>36</v>
      </c>
      <c r="FI23">
        <v>116</v>
      </c>
      <c r="FJ23">
        <v>1.282051282051282E-2</v>
      </c>
      <c r="FK23">
        <v>4.9689440993788817E-2</v>
      </c>
      <c r="FL23">
        <v>1</v>
      </c>
      <c r="FM23">
        <v>32</v>
      </c>
      <c r="FN23">
        <v>13</v>
      </c>
      <c r="FO23">
        <v>83</v>
      </c>
      <c r="FP23">
        <v>13</v>
      </c>
      <c r="FQ23">
        <v>83</v>
      </c>
      <c r="FR23">
        <v>0</v>
      </c>
      <c r="FS23">
        <v>0.13253012048192772</v>
      </c>
      <c r="FT23">
        <v>0</v>
      </c>
      <c r="FU23">
        <v>11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0.31325301204819278</v>
      </c>
      <c r="GB23">
        <v>0</v>
      </c>
      <c r="GC23">
        <v>26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0.13253012048192772</v>
      </c>
      <c r="GJ23">
        <v>0</v>
      </c>
      <c r="GK23">
        <v>11</v>
      </c>
      <c r="GL23">
        <v>1</v>
      </c>
      <c r="GM23">
        <v>0.3253012048192771</v>
      </c>
      <c r="GN23">
        <v>13</v>
      </c>
      <c r="GO23">
        <v>27</v>
      </c>
      <c r="GP23">
        <v>0</v>
      </c>
      <c r="GQ23">
        <v>9.6385542168674704E-2</v>
      </c>
      <c r="GR23">
        <v>0</v>
      </c>
      <c r="GS23">
        <v>8</v>
      </c>
      <c r="GT23">
        <v>2.564102564102564E-2</v>
      </c>
      <c r="GU23">
        <v>4.9689440993788817E-2</v>
      </c>
      <c r="GV23">
        <v>2</v>
      </c>
      <c r="GW23">
        <v>32</v>
      </c>
      <c r="GX23">
        <v>0.14102564102564102</v>
      </c>
      <c r="GY23">
        <v>8.2298136645962736E-2</v>
      </c>
      <c r="GZ23">
        <v>11</v>
      </c>
      <c r="HA23">
        <v>53</v>
      </c>
      <c r="HB23">
        <v>1.282051282051282E-2</v>
      </c>
      <c r="HC23">
        <v>1.5527950310559005E-3</v>
      </c>
      <c r="HD23">
        <v>1</v>
      </c>
      <c r="HE23">
        <v>1</v>
      </c>
      <c r="HF23">
        <v>0</v>
      </c>
      <c r="HG23">
        <v>0</v>
      </c>
      <c r="HH23">
        <v>0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v>0</v>
      </c>
      <c r="HP23">
        <v>0</v>
      </c>
      <c r="HQ23">
        <v>0</v>
      </c>
      <c r="HR23">
        <v>0.70512820512820518</v>
      </c>
      <c r="HS23">
        <v>0.72981366459627328</v>
      </c>
      <c r="HT23">
        <v>55</v>
      </c>
      <c r="HU23">
        <v>470</v>
      </c>
      <c r="HV23">
        <v>0.11538461538461539</v>
      </c>
      <c r="HW23">
        <v>0.13664596273291926</v>
      </c>
      <c r="HX23">
        <v>9</v>
      </c>
      <c r="HY23">
        <v>88</v>
      </c>
      <c r="HZ23">
        <v>0.40540540540540543</v>
      </c>
      <c r="IA23">
        <v>0.32773109243697479</v>
      </c>
      <c r="IB23">
        <v>15</v>
      </c>
      <c r="IC23">
        <v>78</v>
      </c>
      <c r="ID23">
        <v>0.45945945945945948</v>
      </c>
      <c r="IE23">
        <v>0.32773109243697479</v>
      </c>
      <c r="IF23">
        <v>17</v>
      </c>
      <c r="IG23">
        <v>78</v>
      </c>
      <c r="IH23">
        <v>0</v>
      </c>
      <c r="II23">
        <v>7.9831932773109238E-2</v>
      </c>
      <c r="IJ23">
        <v>0</v>
      </c>
      <c r="IK23">
        <v>19</v>
      </c>
      <c r="IL23">
        <v>2.7027027027027029E-2</v>
      </c>
      <c r="IM23">
        <v>2.5210084033613446E-2</v>
      </c>
      <c r="IN23">
        <v>1</v>
      </c>
      <c r="IO23">
        <v>6</v>
      </c>
      <c r="IP23">
        <v>0.10810810810810811</v>
      </c>
      <c r="IQ23">
        <v>0.23949579831932774</v>
      </c>
      <c r="IR23">
        <v>4</v>
      </c>
      <c r="IS23">
        <v>57</v>
      </c>
      <c r="IT23">
        <v>61.57692307692308</v>
      </c>
      <c r="IU23">
        <v>77.970059880239518</v>
      </c>
      <c r="IV23">
        <v>0.42307692307692307</v>
      </c>
      <c r="IW23">
        <v>0.3652694610778443</v>
      </c>
      <c r="IX23">
        <v>11</v>
      </c>
      <c r="IY23">
        <v>61</v>
      </c>
      <c r="IZ23">
        <v>0.46153846153846156</v>
      </c>
      <c r="JA23">
        <v>0.33532934131736525</v>
      </c>
      <c r="JB23">
        <v>12</v>
      </c>
      <c r="JC23">
        <v>56</v>
      </c>
      <c r="JD23">
        <v>0</v>
      </c>
      <c r="JE23">
        <v>4.790419161676647E-2</v>
      </c>
      <c r="JF23">
        <v>0</v>
      </c>
      <c r="JG23">
        <v>8</v>
      </c>
      <c r="JH23">
        <v>3.8461538461538464E-2</v>
      </c>
      <c r="JI23">
        <v>2.9940119760479042E-2</v>
      </c>
      <c r="JJ23">
        <v>1</v>
      </c>
      <c r="JK23">
        <v>5</v>
      </c>
      <c r="JL23">
        <v>7.6923076923076927E-2</v>
      </c>
      <c r="JM23">
        <v>0.22155688622754491</v>
      </c>
      <c r="JN23">
        <v>2</v>
      </c>
      <c r="JO23">
        <v>37</v>
      </c>
      <c r="JP23">
        <v>0</v>
      </c>
      <c r="JQ23">
        <v>2.2727272727272728E-2</v>
      </c>
      <c r="JR23">
        <v>0</v>
      </c>
      <c r="JS23">
        <v>1</v>
      </c>
      <c r="JT23">
        <v>1</v>
      </c>
      <c r="JU23">
        <v>0.75</v>
      </c>
      <c r="JV23">
        <v>5</v>
      </c>
      <c r="JW23">
        <v>33</v>
      </c>
      <c r="JX23">
        <v>0</v>
      </c>
      <c r="JY23">
        <v>4.5454545454545456E-2</v>
      </c>
      <c r="JZ23">
        <v>0</v>
      </c>
      <c r="KA23">
        <v>2</v>
      </c>
      <c r="KB23">
        <v>0</v>
      </c>
      <c r="KC23">
        <v>0</v>
      </c>
      <c r="KD23">
        <v>0</v>
      </c>
      <c r="KE23">
        <v>0</v>
      </c>
      <c r="KF23">
        <v>0</v>
      </c>
      <c r="KG23">
        <v>0.18181818181818188</v>
      </c>
      <c r="KH23">
        <v>0</v>
      </c>
      <c r="KI23">
        <v>8</v>
      </c>
      <c r="KJ23">
        <v>0</v>
      </c>
      <c r="KK23">
        <v>4.5454545454545456E-2</v>
      </c>
      <c r="KL23">
        <v>0</v>
      </c>
      <c r="KM23">
        <v>2</v>
      </c>
      <c r="KN23">
        <v>0.2</v>
      </c>
      <c r="KO23">
        <v>0.13636363636363635</v>
      </c>
      <c r="KP23">
        <v>1</v>
      </c>
      <c r="KQ23">
        <v>6</v>
      </c>
      <c r="KR23">
        <v>0.2</v>
      </c>
      <c r="KS23">
        <v>9.0909090909090912E-2</v>
      </c>
      <c r="KT23">
        <v>1</v>
      </c>
      <c r="KU23">
        <v>4</v>
      </c>
      <c r="KV23">
        <v>0</v>
      </c>
      <c r="KW23">
        <v>9.0909090909090912E-2</v>
      </c>
      <c r="KX23">
        <v>0</v>
      </c>
      <c r="KY23">
        <v>4</v>
      </c>
      <c r="KZ23">
        <v>0.6</v>
      </c>
      <c r="LA23">
        <v>0.63636363636363635</v>
      </c>
      <c r="LB23">
        <v>3</v>
      </c>
      <c r="LC23">
        <v>28</v>
      </c>
      <c r="LD23">
        <v>0.51282051282051277</v>
      </c>
      <c r="LE23">
        <v>0.30769230769230771</v>
      </c>
      <c r="LF23">
        <v>5.128205128205128E-2</v>
      </c>
      <c r="LG23">
        <v>0.1538461538461538</v>
      </c>
      <c r="LH23">
        <v>0.53881987577639756</v>
      </c>
      <c r="LI23">
        <v>0.44720496894409939</v>
      </c>
      <c r="LJ23">
        <v>2.0186335403726708E-2</v>
      </c>
      <c r="LK23">
        <v>7.1428571428571452E-2</v>
      </c>
    </row>
    <row r="24" spans="1:323" x14ac:dyDescent="0.25">
      <c r="A24" t="s">
        <v>14</v>
      </c>
      <c r="B24" t="s">
        <v>96</v>
      </c>
      <c r="C24" t="s">
        <v>174</v>
      </c>
      <c r="D24">
        <v>1.3071895424836602E-2</v>
      </c>
      <c r="E24">
        <v>6.8627450980392163E-2</v>
      </c>
      <c r="F24">
        <v>0.21895424836601307</v>
      </c>
      <c r="G24">
        <v>0.44444444444444442</v>
      </c>
      <c r="H24">
        <v>0.25490196078431371</v>
      </c>
      <c r="I24">
        <v>1.1579818031430935E-2</v>
      </c>
      <c r="J24">
        <v>6.1621174524400329E-2</v>
      </c>
      <c r="K24">
        <v>0.21464019851116625</v>
      </c>
      <c r="L24">
        <v>0.44582299421009097</v>
      </c>
      <c r="M24">
        <v>0.26633581472291151</v>
      </c>
      <c r="N24">
        <v>0.66993464052287577</v>
      </c>
      <c r="O24">
        <v>0.33006535947712423</v>
      </c>
      <c r="P24">
        <v>0.70471464019851116</v>
      </c>
      <c r="Q24">
        <v>0.29528535980148884</v>
      </c>
      <c r="R24">
        <v>306</v>
      </c>
      <c r="S24">
        <v>65.846405228758172</v>
      </c>
      <c r="T24">
        <v>34</v>
      </c>
      <c r="U24">
        <v>13.326797385620916</v>
      </c>
      <c r="V24">
        <v>3.3398692810457518</v>
      </c>
      <c r="W24">
        <v>27.029411764705884</v>
      </c>
      <c r="X24">
        <v>2418</v>
      </c>
      <c r="Y24">
        <v>66.236559139784944</v>
      </c>
      <c r="Z24">
        <v>308</v>
      </c>
      <c r="AA24">
        <v>10.480562448304385</v>
      </c>
      <c r="AB24">
        <v>3.9582299421009099</v>
      </c>
      <c r="AC24">
        <v>32.586848635235732</v>
      </c>
      <c r="AD24">
        <v>0.56541598694942907</v>
      </c>
      <c r="AE24">
        <v>0.57145574435708846</v>
      </c>
      <c r="AF24">
        <v>1733</v>
      </c>
      <c r="AG24">
        <v>9013</v>
      </c>
      <c r="AH24">
        <v>0.39119086460032626</v>
      </c>
      <c r="AI24">
        <v>0.40077352269845296</v>
      </c>
      <c r="AJ24">
        <v>1199</v>
      </c>
      <c r="AK24">
        <v>6321</v>
      </c>
      <c r="AL24">
        <v>1.6965742251223492E-2</v>
      </c>
      <c r="AM24">
        <v>1.8133400963733198E-2</v>
      </c>
      <c r="AN24">
        <v>52</v>
      </c>
      <c r="AO24">
        <v>286</v>
      </c>
      <c r="AP24">
        <v>2.1859706362153345E-2</v>
      </c>
      <c r="AQ24">
        <v>7.101191985797616E-3</v>
      </c>
      <c r="AR24">
        <v>67</v>
      </c>
      <c r="AS24">
        <v>112</v>
      </c>
      <c r="AT24">
        <v>4.2414355628058731E-3</v>
      </c>
      <c r="AU24">
        <v>2.4093329951813342E-3</v>
      </c>
      <c r="AV24">
        <v>13</v>
      </c>
      <c r="AW24">
        <v>38</v>
      </c>
      <c r="AX24">
        <v>3.2626427406199022E-4</v>
      </c>
      <c r="AY24">
        <v>6.3403499873192998E-5</v>
      </c>
      <c r="AZ24">
        <v>1</v>
      </c>
      <c r="BA24">
        <v>1</v>
      </c>
      <c r="BB24">
        <v>0.38235294117647056</v>
      </c>
      <c r="BC24">
        <v>10.735294117647058</v>
      </c>
      <c r="BD24">
        <v>9.4771241830065356E-2</v>
      </c>
      <c r="BE24">
        <v>4.0457516339869279</v>
      </c>
      <c r="BF24">
        <v>3.2679738562091504E-3</v>
      </c>
      <c r="BG24">
        <v>0.10130718954248366</v>
      </c>
      <c r="BH24">
        <v>0.33457402812241521</v>
      </c>
      <c r="BI24">
        <v>8.0897435897435894</v>
      </c>
      <c r="BJ24">
        <v>6.3275434243176179E-2</v>
      </c>
      <c r="BK24">
        <v>1.6683209263854426</v>
      </c>
      <c r="BL24">
        <v>6.2034739454094297E-3</v>
      </c>
      <c r="BM24">
        <v>0.13399503722084366</v>
      </c>
      <c r="BN24">
        <v>0.13013698630136986</v>
      </c>
      <c r="BO24">
        <v>0.20071047957371227</v>
      </c>
      <c r="BP24">
        <v>133</v>
      </c>
      <c r="BQ24">
        <v>1921</v>
      </c>
      <c r="BR24">
        <v>0.17906066536203522</v>
      </c>
      <c r="BS24">
        <v>0.19276982551457528</v>
      </c>
      <c r="BT24">
        <v>183</v>
      </c>
      <c r="BU24">
        <v>1845</v>
      </c>
      <c r="BV24">
        <v>5.577299412915851E-2</v>
      </c>
      <c r="BW24">
        <v>6.0913175216800751E-2</v>
      </c>
      <c r="BX24">
        <v>57</v>
      </c>
      <c r="BY24">
        <v>583</v>
      </c>
      <c r="BZ24">
        <v>8.2191780821917804E-2</v>
      </c>
      <c r="CA24">
        <v>5.9136976282520112E-2</v>
      </c>
      <c r="CB24">
        <v>84</v>
      </c>
      <c r="CC24">
        <v>566</v>
      </c>
      <c r="CD24">
        <v>0.10469667318982387</v>
      </c>
      <c r="CE24">
        <v>5.1718733674642151E-2</v>
      </c>
      <c r="CF24">
        <v>107</v>
      </c>
      <c r="CG24">
        <v>495</v>
      </c>
      <c r="CH24">
        <v>2.7397260273972601E-2</v>
      </c>
      <c r="CI24">
        <v>3.8658447393166859E-2</v>
      </c>
      <c r="CJ24">
        <v>28</v>
      </c>
      <c r="CK24">
        <v>370</v>
      </c>
      <c r="CL24">
        <v>0</v>
      </c>
      <c r="CM24">
        <v>0</v>
      </c>
      <c r="CN24">
        <v>0</v>
      </c>
      <c r="CO24">
        <v>0</v>
      </c>
      <c r="CP24">
        <v>9.7847358121330719E-4</v>
      </c>
      <c r="CQ24">
        <v>3.0404346463274477E-2</v>
      </c>
      <c r="CR24">
        <v>1</v>
      </c>
      <c r="CS24">
        <v>291</v>
      </c>
      <c r="CT24">
        <v>8.1213307240704496E-2</v>
      </c>
      <c r="CU24">
        <v>5.3912861769929994E-2</v>
      </c>
      <c r="CV24">
        <v>83</v>
      </c>
      <c r="CW24">
        <v>516</v>
      </c>
      <c r="CX24">
        <v>0.31213307240704502</v>
      </c>
      <c r="CY24">
        <v>0.28534113467767214</v>
      </c>
      <c r="CZ24">
        <v>319</v>
      </c>
      <c r="DA24">
        <v>2731</v>
      </c>
      <c r="DB24">
        <v>2.6418786692759322E-2</v>
      </c>
      <c r="DC24">
        <v>2.6434019433705824E-2</v>
      </c>
      <c r="DD24">
        <v>27.000000000000028</v>
      </c>
      <c r="DE24">
        <v>389.97744360902294</v>
      </c>
      <c r="DF24">
        <v>0.17973856209150327</v>
      </c>
      <c r="DG24">
        <v>9.553349875930521E-2</v>
      </c>
      <c r="DH24">
        <v>55</v>
      </c>
      <c r="DI24">
        <v>231</v>
      </c>
      <c r="DJ24">
        <v>4.9019607843137254E-2</v>
      </c>
      <c r="DK24">
        <v>4.5078577336641855E-2</v>
      </c>
      <c r="DL24">
        <v>15</v>
      </c>
      <c r="DM24">
        <v>109</v>
      </c>
      <c r="DN24">
        <v>7.1895424836601302E-2</v>
      </c>
      <c r="DO24">
        <v>0.12324234904880066</v>
      </c>
      <c r="DP24">
        <v>22</v>
      </c>
      <c r="DQ24">
        <v>298</v>
      </c>
      <c r="DR24">
        <v>3.5947712418300651E-2</v>
      </c>
      <c r="DS24">
        <v>3.2258064516129031E-2</v>
      </c>
      <c r="DT24">
        <v>11</v>
      </c>
      <c r="DU24">
        <v>78</v>
      </c>
      <c r="DV24">
        <v>3.5947712418300651E-2</v>
      </c>
      <c r="DW24">
        <v>6.7411083540115796E-2</v>
      </c>
      <c r="DX24">
        <v>11</v>
      </c>
      <c r="DY24">
        <v>163</v>
      </c>
      <c r="DZ24">
        <v>0.12745098039215685</v>
      </c>
      <c r="EA24">
        <v>9.3465674110835395E-2</v>
      </c>
      <c r="EB24">
        <v>39</v>
      </c>
      <c r="EC24">
        <v>226</v>
      </c>
      <c r="ED24">
        <v>0.38562091503267976</v>
      </c>
      <c r="EE24">
        <v>0.47435897435897434</v>
      </c>
      <c r="EF24">
        <v>118</v>
      </c>
      <c r="EG24">
        <v>1147</v>
      </c>
      <c r="EH24">
        <v>0.1143790849673203</v>
      </c>
      <c r="EI24">
        <v>6.8651778329197666E-2</v>
      </c>
      <c r="EJ24">
        <v>35.000000000000014</v>
      </c>
      <c r="EK24">
        <v>165.99999999999994</v>
      </c>
      <c r="EL24">
        <v>2.9411764705882353E-2</v>
      </c>
      <c r="EM24">
        <v>0.10297766749379653</v>
      </c>
      <c r="EN24">
        <v>9</v>
      </c>
      <c r="EO24">
        <v>249</v>
      </c>
      <c r="EP24">
        <v>0</v>
      </c>
      <c r="EQ24">
        <v>7.6923076923076927E-2</v>
      </c>
      <c r="ER24">
        <v>0</v>
      </c>
      <c r="ES24">
        <v>186</v>
      </c>
      <c r="ET24">
        <v>0.1111111111111111</v>
      </c>
      <c r="EU24">
        <v>0.4813895781637717</v>
      </c>
      <c r="EV24">
        <v>34</v>
      </c>
      <c r="EW24">
        <v>1164</v>
      </c>
      <c r="EX24">
        <v>0.37581699346405228</v>
      </c>
      <c r="EY24">
        <v>4.8800661703887513E-2</v>
      </c>
      <c r="EZ24">
        <v>115</v>
      </c>
      <c r="FA24">
        <v>118</v>
      </c>
      <c r="FB24">
        <v>0</v>
      </c>
      <c r="FC24">
        <v>8.0231596360628613E-2</v>
      </c>
      <c r="FD24">
        <v>0</v>
      </c>
      <c r="FE24">
        <v>194</v>
      </c>
      <c r="FF24">
        <v>0.47385620915032678</v>
      </c>
      <c r="FG24">
        <v>0.16046319272125723</v>
      </c>
      <c r="FH24">
        <v>145</v>
      </c>
      <c r="FI24">
        <v>388</v>
      </c>
      <c r="FJ24">
        <v>9.8039215686274508E-3</v>
      </c>
      <c r="FK24">
        <v>4.9214226633581472E-2</v>
      </c>
      <c r="FL24">
        <v>3</v>
      </c>
      <c r="FM24">
        <v>119</v>
      </c>
      <c r="FN24">
        <v>107</v>
      </c>
      <c r="FO24">
        <v>495</v>
      </c>
      <c r="FP24">
        <v>107</v>
      </c>
      <c r="FQ24">
        <v>495</v>
      </c>
      <c r="FR24">
        <v>0</v>
      </c>
      <c r="FS24">
        <v>8.4848484848484854E-2</v>
      </c>
      <c r="FT24">
        <v>0</v>
      </c>
      <c r="FU24">
        <v>42</v>
      </c>
      <c r="FV24">
        <v>0</v>
      </c>
      <c r="FW24">
        <v>0</v>
      </c>
      <c r="FX24">
        <v>0</v>
      </c>
      <c r="FY24">
        <v>0</v>
      </c>
      <c r="FZ24">
        <v>3.7383177570093455E-2</v>
      </c>
      <c r="GA24">
        <v>0.44242424242424244</v>
      </c>
      <c r="GB24">
        <v>4</v>
      </c>
      <c r="GC24">
        <v>219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5.8585858585858588E-2</v>
      </c>
      <c r="GJ24">
        <v>0</v>
      </c>
      <c r="GK24">
        <v>29</v>
      </c>
      <c r="GL24">
        <v>0.95327102803738317</v>
      </c>
      <c r="GM24">
        <v>0.32323232323232326</v>
      </c>
      <c r="GN24">
        <v>102</v>
      </c>
      <c r="GO24">
        <v>160</v>
      </c>
      <c r="GP24">
        <v>9.3457943925233638E-3</v>
      </c>
      <c r="GQ24">
        <v>9.0909090909090912E-2</v>
      </c>
      <c r="GR24">
        <v>1</v>
      </c>
      <c r="GS24">
        <v>45</v>
      </c>
      <c r="GT24">
        <v>2.6143790849673203E-2</v>
      </c>
      <c r="GU24">
        <v>4.425144747725393E-2</v>
      </c>
      <c r="GV24">
        <v>8</v>
      </c>
      <c r="GW24">
        <v>107</v>
      </c>
      <c r="GX24">
        <v>0.10784313725490197</v>
      </c>
      <c r="GY24">
        <v>7.3614557485525228E-2</v>
      </c>
      <c r="GZ24">
        <v>33</v>
      </c>
      <c r="HA24">
        <v>178</v>
      </c>
      <c r="HB24">
        <v>6.5359477124183009E-3</v>
      </c>
      <c r="HC24">
        <v>8.271298593879239E-4</v>
      </c>
      <c r="HD24">
        <v>2</v>
      </c>
      <c r="HE24">
        <v>2</v>
      </c>
      <c r="HF24">
        <v>0</v>
      </c>
      <c r="HG24">
        <v>4.1356492969396195E-4</v>
      </c>
      <c r="HH24">
        <v>0</v>
      </c>
      <c r="HI24">
        <v>1</v>
      </c>
      <c r="HJ24">
        <v>0</v>
      </c>
      <c r="HK24">
        <v>4.1356492969396195E-4</v>
      </c>
      <c r="HL24">
        <v>0</v>
      </c>
      <c r="HM24">
        <v>1</v>
      </c>
      <c r="HN24">
        <v>0</v>
      </c>
      <c r="HO24">
        <v>2.0678246484698098E-3</v>
      </c>
      <c r="HP24">
        <v>0</v>
      </c>
      <c r="HQ24">
        <v>5</v>
      </c>
      <c r="HR24">
        <v>0.79084967320261434</v>
      </c>
      <c r="HS24">
        <v>0.80024813895781632</v>
      </c>
      <c r="HT24">
        <v>242</v>
      </c>
      <c r="HU24">
        <v>1935</v>
      </c>
      <c r="HV24">
        <v>6.8627450980392163E-2</v>
      </c>
      <c r="HW24">
        <v>8.0231596360628613E-2</v>
      </c>
      <c r="HX24">
        <v>21</v>
      </c>
      <c r="HY24">
        <v>194</v>
      </c>
      <c r="HZ24">
        <v>0.51200000000000001</v>
      </c>
      <c r="IA24">
        <v>0.44483985765124556</v>
      </c>
      <c r="IB24">
        <v>64</v>
      </c>
      <c r="IC24">
        <v>375</v>
      </c>
      <c r="ID24">
        <v>0.2</v>
      </c>
      <c r="IE24">
        <v>0.21233689205219455</v>
      </c>
      <c r="IF24">
        <v>25</v>
      </c>
      <c r="IG24">
        <v>179</v>
      </c>
      <c r="IH24">
        <v>7.1999999999999995E-2</v>
      </c>
      <c r="II24">
        <v>6.1684460260972719E-2</v>
      </c>
      <c r="IJ24">
        <v>9</v>
      </c>
      <c r="IK24">
        <v>52</v>
      </c>
      <c r="IL24">
        <v>1.6E-2</v>
      </c>
      <c r="IM24">
        <v>4.0332147093712932E-2</v>
      </c>
      <c r="IN24">
        <v>2</v>
      </c>
      <c r="IO24">
        <v>34</v>
      </c>
      <c r="IP24">
        <v>0.2</v>
      </c>
      <c r="IQ24">
        <v>0.2431791221826809</v>
      </c>
      <c r="IR24">
        <v>25</v>
      </c>
      <c r="IS24">
        <v>205</v>
      </c>
      <c r="IT24">
        <v>63.177777777777777</v>
      </c>
      <c r="IU24">
        <v>74.587521663778162</v>
      </c>
      <c r="IV24">
        <v>0.53333333333333333</v>
      </c>
      <c r="IW24">
        <v>0.515625</v>
      </c>
      <c r="IX24">
        <v>48</v>
      </c>
      <c r="IY24">
        <v>297</v>
      </c>
      <c r="IZ24">
        <v>0.21111111111111111</v>
      </c>
      <c r="JA24">
        <v>0.19444444444444445</v>
      </c>
      <c r="JB24">
        <v>19</v>
      </c>
      <c r="JC24">
        <v>112</v>
      </c>
      <c r="JD24">
        <v>6.6666666666666666E-2</v>
      </c>
      <c r="JE24">
        <v>5.9027777777777776E-2</v>
      </c>
      <c r="JF24">
        <v>6</v>
      </c>
      <c r="JG24">
        <v>34</v>
      </c>
      <c r="JH24">
        <v>2.2222222222222223E-2</v>
      </c>
      <c r="JI24">
        <v>3.125E-2</v>
      </c>
      <c r="JJ24">
        <v>2</v>
      </c>
      <c r="JK24">
        <v>18</v>
      </c>
      <c r="JL24">
        <v>0.16666666666666666</v>
      </c>
      <c r="JM24">
        <v>0.2013888888888889</v>
      </c>
      <c r="JN24">
        <v>15</v>
      </c>
      <c r="JO24">
        <v>116</v>
      </c>
      <c r="JP24">
        <v>6.8965517241379309E-2</v>
      </c>
      <c r="JQ24">
        <v>7.1895424836601302E-2</v>
      </c>
      <c r="JR24">
        <v>2</v>
      </c>
      <c r="JS24">
        <v>11</v>
      </c>
      <c r="JT24">
        <v>0.65517241379310343</v>
      </c>
      <c r="JU24">
        <v>0.69281045751633985</v>
      </c>
      <c r="JV24">
        <v>19</v>
      </c>
      <c r="JW24">
        <v>106</v>
      </c>
      <c r="JX24">
        <v>0.13793103448275862</v>
      </c>
      <c r="JY24">
        <v>7.1895424836601302E-2</v>
      </c>
      <c r="JZ24">
        <v>4</v>
      </c>
      <c r="KA24">
        <v>11</v>
      </c>
      <c r="KB24">
        <v>3.4482758620689655E-2</v>
      </c>
      <c r="KC24">
        <v>3.9215686274509803E-2</v>
      </c>
      <c r="KD24">
        <v>1</v>
      </c>
      <c r="KE24">
        <v>6</v>
      </c>
      <c r="KF24">
        <v>0.10344827586206906</v>
      </c>
      <c r="KG24">
        <v>0.12418300653594783</v>
      </c>
      <c r="KH24">
        <v>3</v>
      </c>
      <c r="KI24">
        <v>19</v>
      </c>
      <c r="KJ24">
        <v>0.2413793103448276</v>
      </c>
      <c r="KK24">
        <v>0.15584415584415584</v>
      </c>
      <c r="KL24">
        <v>7</v>
      </c>
      <c r="KM24">
        <v>24</v>
      </c>
      <c r="KN24">
        <v>0.20689655172413793</v>
      </c>
      <c r="KO24">
        <v>0.14935064935064934</v>
      </c>
      <c r="KP24">
        <v>6</v>
      </c>
      <c r="KQ24">
        <v>23</v>
      </c>
      <c r="KR24">
        <v>0.20689655172413793</v>
      </c>
      <c r="KS24">
        <v>0.14285714285714285</v>
      </c>
      <c r="KT24">
        <v>6</v>
      </c>
      <c r="KU24">
        <v>22</v>
      </c>
      <c r="KV24">
        <v>3.4482758620689655E-2</v>
      </c>
      <c r="KW24">
        <v>8.4415584415584416E-2</v>
      </c>
      <c r="KX24">
        <v>1</v>
      </c>
      <c r="KY24">
        <v>13</v>
      </c>
      <c r="KZ24">
        <v>0.31034482758620696</v>
      </c>
      <c r="LA24">
        <v>0.46753246753246758</v>
      </c>
      <c r="LB24">
        <v>9</v>
      </c>
      <c r="LC24">
        <v>72</v>
      </c>
      <c r="LD24">
        <v>0.39215686274509803</v>
      </c>
      <c r="LE24">
        <v>0.30718954248366015</v>
      </c>
      <c r="LF24">
        <v>2.6143790849673203E-2</v>
      </c>
      <c r="LG24">
        <v>5.8823529411764663E-2</v>
      </c>
      <c r="LH24">
        <v>0.44334160463192723</v>
      </c>
      <c r="LI24">
        <v>0.38792390405293631</v>
      </c>
      <c r="LJ24">
        <v>1.282051282051282E-2</v>
      </c>
      <c r="LK24">
        <v>4.2597187758478094E-2</v>
      </c>
    </row>
    <row r="25" spans="1:323" x14ac:dyDescent="0.25">
      <c r="A25" t="s">
        <v>15</v>
      </c>
      <c r="B25" t="s">
        <v>55</v>
      </c>
      <c r="C25" t="s">
        <v>175</v>
      </c>
      <c r="D25">
        <v>0</v>
      </c>
      <c r="E25">
        <v>6.1728395061728392E-2</v>
      </c>
      <c r="F25">
        <v>0.2139917695473251</v>
      </c>
      <c r="G25">
        <v>0.3991769547325103</v>
      </c>
      <c r="H25">
        <v>0.32510288065843623</v>
      </c>
      <c r="I25">
        <v>1.1579818031430935E-2</v>
      </c>
      <c r="J25">
        <v>6.1621174524400329E-2</v>
      </c>
      <c r="K25">
        <v>0.21464019851116625</v>
      </c>
      <c r="L25">
        <v>0.44582299421009097</v>
      </c>
      <c r="M25">
        <v>0.26633581472291151</v>
      </c>
      <c r="N25" s="116" t="s">
        <v>187</v>
      </c>
      <c r="O25" s="116" t="s">
        <v>187</v>
      </c>
      <c r="P25">
        <v>0.6428571428571429</v>
      </c>
      <c r="Q25">
        <v>0.3571428571428571</v>
      </c>
      <c r="R25">
        <v>0</v>
      </c>
      <c r="S25" s="116" t="s">
        <v>187</v>
      </c>
      <c r="T25">
        <v>0</v>
      </c>
      <c r="U25" s="116" t="s">
        <v>187</v>
      </c>
      <c r="V25" s="116" t="s">
        <v>187</v>
      </c>
      <c r="W25" s="116" t="s">
        <v>187</v>
      </c>
      <c r="X25">
        <v>28</v>
      </c>
      <c r="Y25">
        <v>32.285714285714285</v>
      </c>
      <c r="Z25">
        <v>2</v>
      </c>
      <c r="AA25">
        <v>8.6428571428571423</v>
      </c>
      <c r="AB25">
        <v>3.8571428571428572</v>
      </c>
      <c r="AC25">
        <v>30.25</v>
      </c>
      <c r="AD25" s="116" t="s">
        <v>187</v>
      </c>
      <c r="AE25">
        <v>0.41269841269841268</v>
      </c>
      <c r="AF25">
        <v>0</v>
      </c>
      <c r="AG25">
        <v>52</v>
      </c>
      <c r="AH25" s="116" t="s">
        <v>187</v>
      </c>
      <c r="AI25">
        <v>0.56349206349206349</v>
      </c>
      <c r="AJ25">
        <v>0</v>
      </c>
      <c r="AK25">
        <v>71</v>
      </c>
      <c r="AL25" s="116" t="s">
        <v>187</v>
      </c>
      <c r="AM25">
        <v>2.3809523809523808E-2</v>
      </c>
      <c r="AN25">
        <v>0</v>
      </c>
      <c r="AO25">
        <v>3</v>
      </c>
      <c r="AP25" s="116" t="s">
        <v>187</v>
      </c>
      <c r="AQ25">
        <v>0</v>
      </c>
      <c r="AR25">
        <v>0</v>
      </c>
      <c r="AS25">
        <v>0</v>
      </c>
      <c r="AT25" s="116" t="s">
        <v>187</v>
      </c>
      <c r="AU25">
        <v>0</v>
      </c>
      <c r="AV25">
        <v>0</v>
      </c>
      <c r="AW25">
        <v>0</v>
      </c>
      <c r="AX25" s="116" t="s">
        <v>187</v>
      </c>
      <c r="AY25">
        <v>0</v>
      </c>
      <c r="AZ25">
        <v>0</v>
      </c>
      <c r="BA25">
        <v>0</v>
      </c>
      <c r="BB25" s="116" t="s">
        <v>187</v>
      </c>
      <c r="BC25" s="116" t="s">
        <v>187</v>
      </c>
      <c r="BD25" s="116" t="s">
        <v>187</v>
      </c>
      <c r="BE25" s="116" t="s">
        <v>187</v>
      </c>
      <c r="BF25" s="116" t="s">
        <v>187</v>
      </c>
      <c r="BG25" s="116" t="s">
        <v>187</v>
      </c>
      <c r="BH25">
        <v>0.35714285714285715</v>
      </c>
      <c r="BI25">
        <v>7.75</v>
      </c>
      <c r="BJ25">
        <v>0</v>
      </c>
      <c r="BK25">
        <v>0</v>
      </c>
      <c r="BL25">
        <v>0</v>
      </c>
      <c r="BM25">
        <v>0</v>
      </c>
      <c r="BN25" s="116" t="s">
        <v>187</v>
      </c>
      <c r="BO25">
        <v>0.19444444444444445</v>
      </c>
      <c r="BP25">
        <v>0</v>
      </c>
      <c r="BQ25">
        <v>21</v>
      </c>
      <c r="BR25" s="116" t="s">
        <v>187</v>
      </c>
      <c r="BS25">
        <v>0.20370370370370369</v>
      </c>
      <c r="BT25">
        <v>0</v>
      </c>
      <c r="BU25">
        <v>22</v>
      </c>
      <c r="BV25" s="116" t="s">
        <v>187</v>
      </c>
      <c r="BW25">
        <v>3.7037037037037035E-2</v>
      </c>
      <c r="BX25">
        <v>0</v>
      </c>
      <c r="BY25">
        <v>4</v>
      </c>
      <c r="BZ25" s="116" t="s">
        <v>187</v>
      </c>
      <c r="CA25">
        <v>1.8518518518518517E-2</v>
      </c>
      <c r="CB25">
        <v>0</v>
      </c>
      <c r="CC25">
        <v>2</v>
      </c>
      <c r="CD25" s="116" t="s">
        <v>187</v>
      </c>
      <c r="CE25">
        <v>0.12037037037037036</v>
      </c>
      <c r="CF25">
        <v>0</v>
      </c>
      <c r="CG25">
        <v>13</v>
      </c>
      <c r="CH25" s="116" t="s">
        <v>187</v>
      </c>
      <c r="CI25">
        <v>6.4814814814814811E-2</v>
      </c>
      <c r="CJ25">
        <v>0</v>
      </c>
      <c r="CK25">
        <v>7</v>
      </c>
      <c r="CL25" s="116" t="s">
        <v>187</v>
      </c>
      <c r="CM25">
        <v>0</v>
      </c>
      <c r="CN25">
        <v>0</v>
      </c>
      <c r="CO25">
        <v>0</v>
      </c>
      <c r="CP25" s="116" t="s">
        <v>187</v>
      </c>
      <c r="CQ25">
        <v>9.2592592592592587E-3</v>
      </c>
      <c r="CR25">
        <v>0</v>
      </c>
      <c r="CS25">
        <v>1</v>
      </c>
      <c r="CT25" s="116" t="s">
        <v>187</v>
      </c>
      <c r="CU25">
        <v>5.5555555555555552E-2</v>
      </c>
      <c r="CV25">
        <v>0</v>
      </c>
      <c r="CW25">
        <v>6</v>
      </c>
      <c r="CX25" s="116" t="s">
        <v>187</v>
      </c>
      <c r="CY25">
        <v>0.27777777777777779</v>
      </c>
      <c r="CZ25">
        <v>0</v>
      </c>
      <c r="DA25">
        <v>30</v>
      </c>
      <c r="DB25" s="116" t="s">
        <v>187</v>
      </c>
      <c r="DC25">
        <v>1.851851851851849E-2</v>
      </c>
      <c r="DD25" s="116" t="s">
        <v>187</v>
      </c>
      <c r="DE25" s="116" t="s">
        <v>187</v>
      </c>
      <c r="DF25" s="116" t="s">
        <v>187</v>
      </c>
      <c r="DG25">
        <v>0.14285714285714285</v>
      </c>
      <c r="DH25">
        <v>0</v>
      </c>
      <c r="DI25">
        <v>4</v>
      </c>
      <c r="DJ25" s="116" t="s">
        <v>187</v>
      </c>
      <c r="DK25">
        <v>0</v>
      </c>
      <c r="DL25">
        <v>0</v>
      </c>
      <c r="DM25">
        <v>0</v>
      </c>
      <c r="DN25" s="116" t="s">
        <v>187</v>
      </c>
      <c r="DO25">
        <v>0.17857142857142858</v>
      </c>
      <c r="DP25">
        <v>0</v>
      </c>
      <c r="DQ25">
        <v>5</v>
      </c>
      <c r="DR25" s="116" t="s">
        <v>187</v>
      </c>
      <c r="DS25">
        <v>0</v>
      </c>
      <c r="DT25">
        <v>0</v>
      </c>
      <c r="DU25">
        <v>0</v>
      </c>
      <c r="DV25" s="116" t="s">
        <v>187</v>
      </c>
      <c r="DW25">
        <v>0.10714285714285714</v>
      </c>
      <c r="DX25">
        <v>0</v>
      </c>
      <c r="DY25">
        <v>3</v>
      </c>
      <c r="DZ25" s="116" t="s">
        <v>187</v>
      </c>
      <c r="EA25">
        <v>0.14285714285714285</v>
      </c>
      <c r="EB25">
        <v>0</v>
      </c>
      <c r="EC25">
        <v>4</v>
      </c>
      <c r="ED25" s="116" t="s">
        <v>187</v>
      </c>
      <c r="EE25">
        <v>0.35714285714285715</v>
      </c>
      <c r="EF25">
        <v>0</v>
      </c>
      <c r="EG25">
        <v>10</v>
      </c>
      <c r="EH25" s="116" t="s">
        <v>187</v>
      </c>
      <c r="EI25">
        <v>7.1428571428571397E-2</v>
      </c>
      <c r="EJ25" s="116" t="s">
        <v>187</v>
      </c>
      <c r="EK25">
        <v>1.9999999999999991</v>
      </c>
      <c r="EL25" s="116" t="s">
        <v>187</v>
      </c>
      <c r="EM25">
        <v>0.17857142857142858</v>
      </c>
      <c r="EN25">
        <v>0</v>
      </c>
      <c r="EO25">
        <v>5</v>
      </c>
      <c r="EP25" s="116" t="s">
        <v>187</v>
      </c>
      <c r="EQ25">
        <v>7.1428571428571425E-2</v>
      </c>
      <c r="ER25">
        <v>0</v>
      </c>
      <c r="ES25">
        <v>2</v>
      </c>
      <c r="ET25" s="116" t="s">
        <v>187</v>
      </c>
      <c r="EU25">
        <v>0.5714285714285714</v>
      </c>
      <c r="EV25">
        <v>0</v>
      </c>
      <c r="EW25">
        <v>16</v>
      </c>
      <c r="EX25" s="116" t="s">
        <v>187</v>
      </c>
      <c r="EY25">
        <v>7.1428571428571425E-2</v>
      </c>
      <c r="EZ25">
        <v>0</v>
      </c>
      <c r="FA25">
        <v>2</v>
      </c>
      <c r="FB25" s="116" t="s">
        <v>187</v>
      </c>
      <c r="FC25">
        <v>0</v>
      </c>
      <c r="FD25">
        <v>0</v>
      </c>
      <c r="FE25">
        <v>0</v>
      </c>
      <c r="FF25" s="116" t="s">
        <v>187</v>
      </c>
      <c r="FG25">
        <v>0.10714285714285714</v>
      </c>
      <c r="FH25">
        <v>0</v>
      </c>
      <c r="FI25">
        <v>3</v>
      </c>
      <c r="FJ25" s="116" t="s">
        <v>187</v>
      </c>
      <c r="FK25">
        <v>0</v>
      </c>
      <c r="FL25">
        <v>0</v>
      </c>
      <c r="FM25">
        <v>0</v>
      </c>
      <c r="FN25">
        <v>0</v>
      </c>
      <c r="FO25">
        <v>13</v>
      </c>
      <c r="FP25">
        <v>0</v>
      </c>
      <c r="FQ25">
        <v>13</v>
      </c>
      <c r="FR25" s="116" t="s">
        <v>187</v>
      </c>
      <c r="FS25">
        <v>0.23076923076923078</v>
      </c>
      <c r="FT25">
        <v>0</v>
      </c>
      <c r="FU25">
        <v>3</v>
      </c>
      <c r="FV25" s="116" t="s">
        <v>187</v>
      </c>
      <c r="FW25">
        <v>0</v>
      </c>
      <c r="FX25">
        <v>0</v>
      </c>
      <c r="FY25">
        <v>0</v>
      </c>
      <c r="FZ25" s="116" t="s">
        <v>187</v>
      </c>
      <c r="GA25">
        <v>0.30769230769230771</v>
      </c>
      <c r="GB25">
        <v>0</v>
      </c>
      <c r="GC25">
        <v>4</v>
      </c>
      <c r="GD25" s="116" t="s">
        <v>187</v>
      </c>
      <c r="GE25">
        <v>0</v>
      </c>
      <c r="GF25">
        <v>0</v>
      </c>
      <c r="GG25">
        <v>0</v>
      </c>
      <c r="GH25" s="116" t="s">
        <v>187</v>
      </c>
      <c r="GI25">
        <v>0</v>
      </c>
      <c r="GJ25">
        <v>0</v>
      </c>
      <c r="GK25">
        <v>0</v>
      </c>
      <c r="GL25" s="116" t="s">
        <v>187</v>
      </c>
      <c r="GM25">
        <v>0.38461538461538464</v>
      </c>
      <c r="GN25">
        <v>0</v>
      </c>
      <c r="GO25">
        <v>5</v>
      </c>
      <c r="GP25" s="116" t="s">
        <v>187</v>
      </c>
      <c r="GQ25">
        <v>7.6923076923076927E-2</v>
      </c>
      <c r="GR25">
        <v>0</v>
      </c>
      <c r="GS25">
        <v>1</v>
      </c>
      <c r="GT25" s="116" t="s">
        <v>187</v>
      </c>
      <c r="GU25">
        <v>0</v>
      </c>
      <c r="GV25">
        <v>0</v>
      </c>
      <c r="GW25">
        <v>0</v>
      </c>
      <c r="GX25" s="116" t="s">
        <v>187</v>
      </c>
      <c r="GY25">
        <v>7.1428571428571425E-2</v>
      </c>
      <c r="GZ25">
        <v>0</v>
      </c>
      <c r="HA25">
        <v>2</v>
      </c>
      <c r="HB25" s="116" t="s">
        <v>187</v>
      </c>
      <c r="HC25">
        <v>0</v>
      </c>
      <c r="HD25">
        <v>0</v>
      </c>
      <c r="HE25">
        <v>0</v>
      </c>
      <c r="HF25" s="116" t="s">
        <v>187</v>
      </c>
      <c r="HG25">
        <v>0</v>
      </c>
      <c r="HH25">
        <v>0</v>
      </c>
      <c r="HI25">
        <v>0</v>
      </c>
      <c r="HJ25" s="116" t="s">
        <v>187</v>
      </c>
      <c r="HK25">
        <v>0</v>
      </c>
      <c r="HL25">
        <v>0</v>
      </c>
      <c r="HM25">
        <v>0</v>
      </c>
      <c r="HN25" s="116" t="s">
        <v>187</v>
      </c>
      <c r="HO25">
        <v>0</v>
      </c>
      <c r="HP25">
        <v>0</v>
      </c>
      <c r="HQ25">
        <v>0</v>
      </c>
      <c r="HR25" s="116" t="s">
        <v>187</v>
      </c>
      <c r="HS25">
        <v>0.8928571428571429</v>
      </c>
      <c r="HT25">
        <v>0</v>
      </c>
      <c r="HU25">
        <v>25</v>
      </c>
      <c r="HV25" s="116" t="s">
        <v>187</v>
      </c>
      <c r="HW25">
        <v>3.5714285714285712E-2</v>
      </c>
      <c r="HX25">
        <v>0</v>
      </c>
      <c r="HY25">
        <v>1</v>
      </c>
      <c r="HZ25" s="116" t="s">
        <v>187</v>
      </c>
      <c r="IA25">
        <v>0.6</v>
      </c>
      <c r="IB25">
        <v>0</v>
      </c>
      <c r="IC25">
        <v>6</v>
      </c>
      <c r="ID25" s="116" t="s">
        <v>187</v>
      </c>
      <c r="IE25">
        <v>0.1</v>
      </c>
      <c r="IF25">
        <v>0</v>
      </c>
      <c r="IG25">
        <v>1</v>
      </c>
      <c r="IH25" s="116" t="s">
        <v>187</v>
      </c>
      <c r="II25">
        <v>0.1</v>
      </c>
      <c r="IJ25">
        <v>0</v>
      </c>
      <c r="IK25">
        <v>1</v>
      </c>
      <c r="IL25" s="116" t="s">
        <v>187</v>
      </c>
      <c r="IM25">
        <v>0</v>
      </c>
      <c r="IN25">
        <v>0</v>
      </c>
      <c r="IO25">
        <v>0</v>
      </c>
      <c r="IP25" s="116" t="s">
        <v>187</v>
      </c>
      <c r="IQ25">
        <v>0.2</v>
      </c>
      <c r="IR25">
        <v>0</v>
      </c>
      <c r="IS25">
        <v>2</v>
      </c>
      <c r="IT25" s="116" t="s">
        <v>187</v>
      </c>
      <c r="IU25">
        <v>69.75</v>
      </c>
      <c r="IV25" s="116" t="s">
        <v>187</v>
      </c>
      <c r="IW25">
        <v>0.625</v>
      </c>
      <c r="IX25">
        <v>0</v>
      </c>
      <c r="IY25">
        <v>5</v>
      </c>
      <c r="IZ25" s="116" t="s">
        <v>187</v>
      </c>
      <c r="JA25">
        <v>0.125</v>
      </c>
      <c r="JB25">
        <v>0</v>
      </c>
      <c r="JC25">
        <v>1</v>
      </c>
      <c r="JD25" s="116" t="s">
        <v>187</v>
      </c>
      <c r="JE25">
        <v>0.125</v>
      </c>
      <c r="JF25">
        <v>0</v>
      </c>
      <c r="JG25">
        <v>1</v>
      </c>
      <c r="JH25" s="116" t="s">
        <v>187</v>
      </c>
      <c r="JI25">
        <v>0</v>
      </c>
      <c r="JJ25">
        <v>0</v>
      </c>
      <c r="JK25">
        <v>0</v>
      </c>
      <c r="JL25" s="116" t="s">
        <v>187</v>
      </c>
      <c r="JM25">
        <v>0.125</v>
      </c>
      <c r="JN25">
        <v>0</v>
      </c>
      <c r="JO25">
        <v>1</v>
      </c>
      <c r="JP25" s="116" t="s">
        <v>187</v>
      </c>
      <c r="JQ25" s="116" t="s">
        <v>187</v>
      </c>
      <c r="JR25">
        <v>0</v>
      </c>
      <c r="JS25">
        <v>0</v>
      </c>
      <c r="JT25" s="116" t="s">
        <v>187</v>
      </c>
      <c r="JU25" s="116" t="s">
        <v>187</v>
      </c>
      <c r="JV25">
        <v>0</v>
      </c>
      <c r="JW25">
        <v>0</v>
      </c>
      <c r="JX25" s="116" t="s">
        <v>187</v>
      </c>
      <c r="JY25" s="116" t="s">
        <v>187</v>
      </c>
      <c r="JZ25">
        <v>0</v>
      </c>
      <c r="KA25">
        <v>0</v>
      </c>
      <c r="KB25" s="116" t="s">
        <v>187</v>
      </c>
      <c r="KC25" s="116" t="s">
        <v>187</v>
      </c>
      <c r="KD25">
        <v>0</v>
      </c>
      <c r="KE25">
        <v>0</v>
      </c>
      <c r="KF25" s="116" t="s">
        <v>187</v>
      </c>
      <c r="KG25" s="116" t="s">
        <v>187</v>
      </c>
      <c r="KH25">
        <v>0</v>
      </c>
      <c r="KI25">
        <v>0</v>
      </c>
      <c r="KJ25" s="116" t="s">
        <v>187</v>
      </c>
      <c r="KK25" s="116" t="s">
        <v>187</v>
      </c>
      <c r="KL25">
        <v>0</v>
      </c>
      <c r="KM25">
        <v>0</v>
      </c>
      <c r="KN25" s="116" t="s">
        <v>187</v>
      </c>
      <c r="KO25" s="116" t="s">
        <v>187</v>
      </c>
      <c r="KP25">
        <v>0</v>
      </c>
      <c r="KQ25">
        <v>0</v>
      </c>
      <c r="KR25" s="116" t="s">
        <v>187</v>
      </c>
      <c r="KS25" s="116" t="s">
        <v>187</v>
      </c>
      <c r="KT25">
        <v>0</v>
      </c>
      <c r="KU25">
        <v>0</v>
      </c>
      <c r="KV25" s="116" t="s">
        <v>187</v>
      </c>
      <c r="KW25" s="116" t="s">
        <v>187</v>
      </c>
      <c r="KX25">
        <v>0</v>
      </c>
      <c r="KY25">
        <v>0</v>
      </c>
      <c r="KZ25" s="116" t="s">
        <v>187</v>
      </c>
      <c r="LA25" s="116" t="s">
        <v>187</v>
      </c>
      <c r="LB25">
        <v>0</v>
      </c>
      <c r="LC25">
        <v>0</v>
      </c>
      <c r="LD25" s="116" t="s">
        <v>187</v>
      </c>
      <c r="LE25" s="116" t="s">
        <v>187</v>
      </c>
      <c r="LF25" s="116" t="s">
        <v>187</v>
      </c>
      <c r="LG25" s="116" t="s">
        <v>187</v>
      </c>
      <c r="LH25">
        <v>0.2857142857142857</v>
      </c>
      <c r="LI25">
        <v>0.21428571428571427</v>
      </c>
      <c r="LJ25">
        <v>0</v>
      </c>
      <c r="LK25">
        <v>7.1428571428571425E-2</v>
      </c>
    </row>
    <row r="26" spans="1:323" x14ac:dyDescent="0.25">
      <c r="A26" t="s">
        <v>15</v>
      </c>
      <c r="B26" t="s">
        <v>56</v>
      </c>
      <c r="C26" t="s">
        <v>176</v>
      </c>
      <c r="D26">
        <v>0</v>
      </c>
      <c r="E26">
        <v>6.1728395061728392E-2</v>
      </c>
      <c r="F26">
        <v>0.2139917695473251</v>
      </c>
      <c r="G26">
        <v>0.3991769547325103</v>
      </c>
      <c r="H26">
        <v>0.32510288065843623</v>
      </c>
      <c r="I26">
        <v>1.1579818031430935E-2</v>
      </c>
      <c r="J26">
        <v>6.1621174524400329E-2</v>
      </c>
      <c r="K26">
        <v>0.21464019851116625</v>
      </c>
      <c r="L26">
        <v>0.44582299421009097</v>
      </c>
      <c r="M26">
        <v>0.26633581472291151</v>
      </c>
      <c r="N26">
        <v>0.46666666666666667</v>
      </c>
      <c r="O26">
        <v>0.53333333333333333</v>
      </c>
      <c r="P26">
        <v>0.57046979865771807</v>
      </c>
      <c r="Q26">
        <v>0.42953020134228193</v>
      </c>
      <c r="R26">
        <v>15</v>
      </c>
      <c r="S26">
        <v>45</v>
      </c>
      <c r="T26">
        <v>2</v>
      </c>
      <c r="U26">
        <v>9.1999999999999993</v>
      </c>
      <c r="V26">
        <v>4.0666666666666664</v>
      </c>
      <c r="W26">
        <v>35.06666666666667</v>
      </c>
      <c r="X26">
        <v>149</v>
      </c>
      <c r="Y26">
        <v>45.778523489932887</v>
      </c>
      <c r="Z26">
        <v>13</v>
      </c>
      <c r="AA26">
        <v>14.100671140939598</v>
      </c>
      <c r="AB26">
        <v>4.798657718120805</v>
      </c>
      <c r="AC26">
        <v>37.973154362416111</v>
      </c>
      <c r="AD26">
        <v>1</v>
      </c>
      <c r="AE26">
        <v>0.44230769230769229</v>
      </c>
      <c r="AF26">
        <v>73</v>
      </c>
      <c r="AG26">
        <v>552</v>
      </c>
      <c r="AH26">
        <v>0</v>
      </c>
      <c r="AI26">
        <v>0.52804487179487181</v>
      </c>
      <c r="AJ26">
        <v>0</v>
      </c>
      <c r="AK26">
        <v>659</v>
      </c>
      <c r="AL26">
        <v>0</v>
      </c>
      <c r="AM26">
        <v>1.0416666666666666E-2</v>
      </c>
      <c r="AN26">
        <v>0</v>
      </c>
      <c r="AO26">
        <v>13</v>
      </c>
      <c r="AP26">
        <v>0</v>
      </c>
      <c r="AQ26">
        <v>1.282051282051282E-2</v>
      </c>
      <c r="AR26">
        <v>0</v>
      </c>
      <c r="AS26">
        <v>16</v>
      </c>
      <c r="AT26">
        <v>0</v>
      </c>
      <c r="AU26">
        <v>6.41025641025641E-3</v>
      </c>
      <c r="AV26">
        <v>0</v>
      </c>
      <c r="AW26">
        <v>8</v>
      </c>
      <c r="AX26">
        <v>0</v>
      </c>
      <c r="AY26">
        <v>0</v>
      </c>
      <c r="AZ26">
        <v>0</v>
      </c>
      <c r="BA26">
        <v>0</v>
      </c>
      <c r="BB26">
        <v>0.53333333333333333</v>
      </c>
      <c r="BC26">
        <v>7.8666666666666663</v>
      </c>
      <c r="BD26">
        <v>0</v>
      </c>
      <c r="BE26">
        <v>0</v>
      </c>
      <c r="BF26">
        <v>0</v>
      </c>
      <c r="BG26" s="116" t="s">
        <v>187</v>
      </c>
      <c r="BH26">
        <v>0.28859060402684567</v>
      </c>
      <c r="BI26">
        <v>6.0067114093959733</v>
      </c>
      <c r="BJ26">
        <v>5.3691275167785234E-2</v>
      </c>
      <c r="BK26">
        <v>0.70469798657718119</v>
      </c>
      <c r="BL26">
        <v>2.6845637583892617E-2</v>
      </c>
      <c r="BM26">
        <v>0.66442953020134232</v>
      </c>
      <c r="BN26">
        <v>0.16393442622950818</v>
      </c>
      <c r="BO26">
        <v>0.27272727272727271</v>
      </c>
      <c r="BP26">
        <v>10</v>
      </c>
      <c r="BQ26">
        <v>195</v>
      </c>
      <c r="BR26">
        <v>0.18032786885245902</v>
      </c>
      <c r="BS26">
        <v>0.14265734265734265</v>
      </c>
      <c r="BT26">
        <v>11</v>
      </c>
      <c r="BU26">
        <v>102</v>
      </c>
      <c r="BV26">
        <v>4.9180327868852458E-2</v>
      </c>
      <c r="BW26">
        <v>6.7132867132867133E-2</v>
      </c>
      <c r="BX26">
        <v>3</v>
      </c>
      <c r="BY26">
        <v>48</v>
      </c>
      <c r="BZ26">
        <v>4.9180327868852458E-2</v>
      </c>
      <c r="CA26">
        <v>7.2727272727272724E-2</v>
      </c>
      <c r="CB26">
        <v>3</v>
      </c>
      <c r="CC26">
        <v>52</v>
      </c>
      <c r="CD26">
        <v>6.5573770491803282E-2</v>
      </c>
      <c r="CE26">
        <v>5.1748251748251747E-2</v>
      </c>
      <c r="CF26">
        <v>4</v>
      </c>
      <c r="CG26">
        <v>37</v>
      </c>
      <c r="CH26">
        <v>3.2786885245901641E-2</v>
      </c>
      <c r="CI26">
        <v>3.6363636363636362E-2</v>
      </c>
      <c r="CJ26">
        <v>2</v>
      </c>
      <c r="CK26">
        <v>26</v>
      </c>
      <c r="CL26">
        <v>0</v>
      </c>
      <c r="CM26">
        <v>0</v>
      </c>
      <c r="CN26">
        <v>0</v>
      </c>
      <c r="CO26">
        <v>0</v>
      </c>
      <c r="CP26">
        <v>0.13114754098360656</v>
      </c>
      <c r="CQ26">
        <v>3.9160839160839164E-2</v>
      </c>
      <c r="CR26">
        <v>8</v>
      </c>
      <c r="CS26">
        <v>28</v>
      </c>
      <c r="CT26">
        <v>6.5573770491803282E-2</v>
      </c>
      <c r="CU26">
        <v>4.8951048951048952E-2</v>
      </c>
      <c r="CV26">
        <v>4</v>
      </c>
      <c r="CW26">
        <v>35</v>
      </c>
      <c r="CX26">
        <v>0.26229508196721313</v>
      </c>
      <c r="CY26">
        <v>0.24615384615384617</v>
      </c>
      <c r="CZ26">
        <v>16</v>
      </c>
      <c r="DA26">
        <v>176</v>
      </c>
      <c r="DB26">
        <v>0</v>
      </c>
      <c r="DC26">
        <v>2.2377622377622419E-2</v>
      </c>
      <c r="DD26">
        <v>0</v>
      </c>
      <c r="DE26">
        <v>0</v>
      </c>
      <c r="DF26">
        <v>0.13333333333333333</v>
      </c>
      <c r="DG26">
        <v>0.13422818791946309</v>
      </c>
      <c r="DH26">
        <v>2</v>
      </c>
      <c r="DI26">
        <v>20</v>
      </c>
      <c r="DJ26">
        <v>0.13333333333333333</v>
      </c>
      <c r="DK26">
        <v>7.3825503355704702E-2</v>
      </c>
      <c r="DL26">
        <v>2</v>
      </c>
      <c r="DM26">
        <v>11</v>
      </c>
      <c r="DN26">
        <v>6.6666666666666666E-2</v>
      </c>
      <c r="DO26">
        <v>0.12080536912751678</v>
      </c>
      <c r="DP26">
        <v>1</v>
      </c>
      <c r="DQ26">
        <v>18</v>
      </c>
      <c r="DR26">
        <v>0</v>
      </c>
      <c r="DS26">
        <v>6.7114093959731542E-3</v>
      </c>
      <c r="DT26">
        <v>0</v>
      </c>
      <c r="DU26">
        <v>1</v>
      </c>
      <c r="DV26">
        <v>6.6666666666666666E-2</v>
      </c>
      <c r="DW26">
        <v>0.13422818791946309</v>
      </c>
      <c r="DX26">
        <v>1</v>
      </c>
      <c r="DY26">
        <v>20</v>
      </c>
      <c r="DZ26">
        <v>0.2</v>
      </c>
      <c r="EA26">
        <v>8.7248322147651006E-2</v>
      </c>
      <c r="EB26">
        <v>3</v>
      </c>
      <c r="EC26">
        <v>13</v>
      </c>
      <c r="ED26">
        <v>0.33333333333333331</v>
      </c>
      <c r="EE26">
        <v>0.3825503355704698</v>
      </c>
      <c r="EF26">
        <v>5</v>
      </c>
      <c r="EG26">
        <v>57</v>
      </c>
      <c r="EH26">
        <v>6.6666666666666652E-2</v>
      </c>
      <c r="EI26">
        <v>6.0402684563758413E-2</v>
      </c>
      <c r="EJ26">
        <v>0.99999999999999978</v>
      </c>
      <c r="EK26">
        <v>9.0000000000000036</v>
      </c>
      <c r="EL26">
        <v>0</v>
      </c>
      <c r="EM26">
        <v>9.3959731543624164E-2</v>
      </c>
      <c r="EN26">
        <v>0</v>
      </c>
      <c r="EO26">
        <v>14</v>
      </c>
      <c r="EP26">
        <v>0</v>
      </c>
      <c r="EQ26">
        <v>6.7114093959731544E-2</v>
      </c>
      <c r="ER26">
        <v>0</v>
      </c>
      <c r="ES26">
        <v>10</v>
      </c>
      <c r="ET26">
        <v>0.13333333333333333</v>
      </c>
      <c r="EU26">
        <v>0.50335570469798663</v>
      </c>
      <c r="EV26">
        <v>2</v>
      </c>
      <c r="EW26">
        <v>75</v>
      </c>
      <c r="EX26">
        <v>0</v>
      </c>
      <c r="EY26">
        <v>6.7114093959731544E-2</v>
      </c>
      <c r="EZ26">
        <v>0</v>
      </c>
      <c r="FA26">
        <v>10</v>
      </c>
      <c r="FB26">
        <v>0.8666666666666667</v>
      </c>
      <c r="FC26">
        <v>8.7248322147651006E-2</v>
      </c>
      <c r="FD26">
        <v>13</v>
      </c>
      <c r="FE26">
        <v>13</v>
      </c>
      <c r="FF26">
        <v>0</v>
      </c>
      <c r="FG26">
        <v>0.13422818791946309</v>
      </c>
      <c r="FH26">
        <v>0</v>
      </c>
      <c r="FI26">
        <v>20</v>
      </c>
      <c r="FJ26">
        <v>0</v>
      </c>
      <c r="FK26">
        <v>4.6979865771812082E-2</v>
      </c>
      <c r="FL26">
        <v>0</v>
      </c>
      <c r="FM26">
        <v>7</v>
      </c>
      <c r="FN26">
        <v>4</v>
      </c>
      <c r="FO26">
        <v>37</v>
      </c>
      <c r="FP26">
        <v>4</v>
      </c>
      <c r="FQ26">
        <v>37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0.25</v>
      </c>
      <c r="GA26">
        <v>0.48648648648648651</v>
      </c>
      <c r="GB26">
        <v>1</v>
      </c>
      <c r="GC26">
        <v>18</v>
      </c>
      <c r="GD26">
        <v>0</v>
      </c>
      <c r="GE26">
        <v>0</v>
      </c>
      <c r="GF26">
        <v>0</v>
      </c>
      <c r="GG26">
        <v>0</v>
      </c>
      <c r="GH26">
        <v>0.5</v>
      </c>
      <c r="GI26">
        <v>5.4054054054054057E-2</v>
      </c>
      <c r="GJ26">
        <v>2</v>
      </c>
      <c r="GK26">
        <v>2</v>
      </c>
      <c r="GL26">
        <v>0</v>
      </c>
      <c r="GM26">
        <v>0.32432432432432434</v>
      </c>
      <c r="GN26">
        <v>0</v>
      </c>
      <c r="GO26">
        <v>12</v>
      </c>
      <c r="GP26">
        <v>0.25</v>
      </c>
      <c r="GQ26">
        <v>0.13513513513513514</v>
      </c>
      <c r="GR26">
        <v>1</v>
      </c>
      <c r="GS26">
        <v>5</v>
      </c>
      <c r="GT26">
        <v>6.6666666666666666E-2</v>
      </c>
      <c r="GU26">
        <v>7.3825503355704702E-2</v>
      </c>
      <c r="GV26">
        <v>1</v>
      </c>
      <c r="GW26">
        <v>11</v>
      </c>
      <c r="GX26">
        <v>6.6666666666666666E-2</v>
      </c>
      <c r="GY26">
        <v>7.3825503355704702E-2</v>
      </c>
      <c r="GZ26">
        <v>1</v>
      </c>
      <c r="HA26">
        <v>11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  <c r="HH26">
        <v>0</v>
      </c>
      <c r="HI26">
        <v>0</v>
      </c>
      <c r="HJ26">
        <v>0</v>
      </c>
      <c r="HK26">
        <v>6.7114093959731542E-3</v>
      </c>
      <c r="HL26">
        <v>0</v>
      </c>
      <c r="HM26">
        <v>1</v>
      </c>
      <c r="HN26">
        <v>0</v>
      </c>
      <c r="HO26">
        <v>0</v>
      </c>
      <c r="HP26">
        <v>0</v>
      </c>
      <c r="HQ26">
        <v>0</v>
      </c>
      <c r="HR26">
        <v>0.73333333333333328</v>
      </c>
      <c r="HS26">
        <v>0.81208053691275173</v>
      </c>
      <c r="HT26">
        <v>11</v>
      </c>
      <c r="HU26">
        <v>121</v>
      </c>
      <c r="HV26">
        <v>0.13333333333333333</v>
      </c>
      <c r="HW26">
        <v>3.3557046979865772E-2</v>
      </c>
      <c r="HX26">
        <v>2</v>
      </c>
      <c r="HY26">
        <v>5</v>
      </c>
      <c r="HZ26">
        <v>0.375</v>
      </c>
      <c r="IA26">
        <v>0.48888888888888887</v>
      </c>
      <c r="IB26">
        <v>3</v>
      </c>
      <c r="IC26">
        <v>22</v>
      </c>
      <c r="ID26">
        <v>0.125</v>
      </c>
      <c r="IE26">
        <v>8.8888888888888892E-2</v>
      </c>
      <c r="IF26">
        <v>1</v>
      </c>
      <c r="IG26">
        <v>4</v>
      </c>
      <c r="IH26">
        <v>0</v>
      </c>
      <c r="II26">
        <v>6.6666666666666666E-2</v>
      </c>
      <c r="IJ26">
        <v>0</v>
      </c>
      <c r="IK26">
        <v>3</v>
      </c>
      <c r="IL26">
        <v>0</v>
      </c>
      <c r="IM26">
        <v>8.8888888888888892E-2</v>
      </c>
      <c r="IN26">
        <v>0</v>
      </c>
      <c r="IO26">
        <v>4</v>
      </c>
      <c r="IP26">
        <v>0.5</v>
      </c>
      <c r="IQ26">
        <v>0.26666666666666666</v>
      </c>
      <c r="IR26">
        <v>4</v>
      </c>
      <c r="IS26">
        <v>12</v>
      </c>
      <c r="IT26">
        <v>73.666666666666671</v>
      </c>
      <c r="IU26">
        <v>66.038461538461533</v>
      </c>
      <c r="IV26">
        <v>0.66666666666666663</v>
      </c>
      <c r="IW26">
        <v>0.61538461538461542</v>
      </c>
      <c r="IX26">
        <v>2</v>
      </c>
      <c r="IY26">
        <v>16</v>
      </c>
      <c r="IZ26">
        <v>0</v>
      </c>
      <c r="JA26">
        <v>3.8461538461538464E-2</v>
      </c>
      <c r="JB26">
        <v>0</v>
      </c>
      <c r="JC26">
        <v>1</v>
      </c>
      <c r="JD26">
        <v>0</v>
      </c>
      <c r="JE26">
        <v>0.11538461538461539</v>
      </c>
      <c r="JF26">
        <v>0</v>
      </c>
      <c r="JG26">
        <v>3</v>
      </c>
      <c r="JH26">
        <v>0</v>
      </c>
      <c r="JI26">
        <v>3.8461538461538464E-2</v>
      </c>
      <c r="JJ26">
        <v>0</v>
      </c>
      <c r="JK26">
        <v>1</v>
      </c>
      <c r="JL26">
        <v>0.33333333333333331</v>
      </c>
      <c r="JM26">
        <v>0.19230769230769232</v>
      </c>
      <c r="JN26">
        <v>1</v>
      </c>
      <c r="JO26">
        <v>5</v>
      </c>
      <c r="JP26" s="116" t="s">
        <v>187</v>
      </c>
      <c r="JQ26">
        <v>0</v>
      </c>
      <c r="JR26">
        <v>0</v>
      </c>
      <c r="JS26">
        <v>0</v>
      </c>
      <c r="JT26" s="116" t="s">
        <v>187</v>
      </c>
      <c r="JU26">
        <v>0.875</v>
      </c>
      <c r="JV26">
        <v>0</v>
      </c>
      <c r="JW26">
        <v>7</v>
      </c>
      <c r="JX26" s="116" t="s">
        <v>187</v>
      </c>
      <c r="JY26">
        <v>0</v>
      </c>
      <c r="JZ26">
        <v>0</v>
      </c>
      <c r="KA26">
        <v>0</v>
      </c>
      <c r="KB26" s="116" t="s">
        <v>187</v>
      </c>
      <c r="KC26">
        <v>0.125</v>
      </c>
      <c r="KD26">
        <v>0</v>
      </c>
      <c r="KE26">
        <v>1</v>
      </c>
      <c r="KF26" s="116" t="s">
        <v>187</v>
      </c>
      <c r="KG26">
        <v>0</v>
      </c>
      <c r="KH26">
        <v>0</v>
      </c>
      <c r="KI26">
        <v>0</v>
      </c>
      <c r="KJ26" s="116" t="s">
        <v>187</v>
      </c>
      <c r="KK26">
        <v>0.5</v>
      </c>
      <c r="KL26">
        <v>0</v>
      </c>
      <c r="KM26">
        <v>4</v>
      </c>
      <c r="KN26" s="116" t="s">
        <v>187</v>
      </c>
      <c r="KO26">
        <v>0</v>
      </c>
      <c r="KP26">
        <v>0</v>
      </c>
      <c r="KQ26">
        <v>0</v>
      </c>
      <c r="KR26" s="116" t="s">
        <v>187</v>
      </c>
      <c r="KS26">
        <v>0</v>
      </c>
      <c r="KT26">
        <v>0</v>
      </c>
      <c r="KU26">
        <v>0</v>
      </c>
      <c r="KV26" s="116" t="s">
        <v>187</v>
      </c>
      <c r="KW26">
        <v>0</v>
      </c>
      <c r="KX26">
        <v>0</v>
      </c>
      <c r="KY26">
        <v>0</v>
      </c>
      <c r="KZ26" s="116" t="s">
        <v>187</v>
      </c>
      <c r="LA26">
        <v>0.5</v>
      </c>
      <c r="LB26">
        <v>0</v>
      </c>
      <c r="LC26">
        <v>4</v>
      </c>
      <c r="LD26">
        <v>0.46666666666666667</v>
      </c>
      <c r="LE26">
        <v>0.4</v>
      </c>
      <c r="LF26">
        <v>0</v>
      </c>
      <c r="LG26">
        <v>6.6666666666666652E-2</v>
      </c>
      <c r="LH26">
        <v>0.41610738255033558</v>
      </c>
      <c r="LI26">
        <v>0.36912751677852351</v>
      </c>
      <c r="LJ26">
        <v>6.7114093959731542E-3</v>
      </c>
      <c r="LK26">
        <v>4.0268456375838924E-2</v>
      </c>
    </row>
    <row r="27" spans="1:323" x14ac:dyDescent="0.25">
      <c r="A27" t="s">
        <v>15</v>
      </c>
      <c r="B27" t="s">
        <v>57</v>
      </c>
      <c r="C27" t="s">
        <v>177</v>
      </c>
      <c r="D27">
        <v>0</v>
      </c>
      <c r="E27">
        <v>6.1728395061728392E-2</v>
      </c>
      <c r="F27">
        <v>0.2139917695473251</v>
      </c>
      <c r="G27">
        <v>0.3991769547325103</v>
      </c>
      <c r="H27">
        <v>0.32510288065843623</v>
      </c>
      <c r="I27">
        <v>1.1579818031430935E-2</v>
      </c>
      <c r="J27">
        <v>6.1621174524400329E-2</v>
      </c>
      <c r="K27">
        <v>0.21464019851116625</v>
      </c>
      <c r="L27">
        <v>0.44582299421009097</v>
      </c>
      <c r="M27">
        <v>0.26633581472291151</v>
      </c>
      <c r="N27">
        <v>0.61538461538461542</v>
      </c>
      <c r="O27">
        <v>0.38461538461538458</v>
      </c>
      <c r="P27">
        <v>0.65895953757225434</v>
      </c>
      <c r="Q27">
        <v>0.34104046242774566</v>
      </c>
      <c r="R27">
        <v>52</v>
      </c>
      <c r="S27">
        <v>54.903846153846153</v>
      </c>
      <c r="T27">
        <v>5</v>
      </c>
      <c r="U27">
        <v>11.23076923076923</v>
      </c>
      <c r="V27">
        <v>5.3461538461538458</v>
      </c>
      <c r="W27">
        <v>33.67307692307692</v>
      </c>
      <c r="X27">
        <v>519</v>
      </c>
      <c r="Y27">
        <v>55.188824662813104</v>
      </c>
      <c r="Z27">
        <v>40</v>
      </c>
      <c r="AA27">
        <v>12.921001926782274</v>
      </c>
      <c r="AB27">
        <v>4.5202312138728322</v>
      </c>
      <c r="AC27">
        <v>37.136801541425818</v>
      </c>
      <c r="AD27">
        <v>0.73063973063973064</v>
      </c>
      <c r="AE27">
        <v>0.60176557135850905</v>
      </c>
      <c r="AF27">
        <v>217</v>
      </c>
      <c r="AG27">
        <v>2454</v>
      </c>
      <c r="AH27">
        <v>0.25589225589225589</v>
      </c>
      <c r="AI27">
        <v>0.37788131436978911</v>
      </c>
      <c r="AJ27">
        <v>76</v>
      </c>
      <c r="AK27">
        <v>1541</v>
      </c>
      <c r="AL27">
        <v>1.3468013468013467E-2</v>
      </c>
      <c r="AM27">
        <v>1.8391368317802845E-2</v>
      </c>
      <c r="AN27">
        <v>4</v>
      </c>
      <c r="AO27">
        <v>75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1.9617459538989702E-3</v>
      </c>
      <c r="AV27">
        <v>0</v>
      </c>
      <c r="AW27">
        <v>8</v>
      </c>
      <c r="AX27">
        <v>0</v>
      </c>
      <c r="AY27">
        <v>0</v>
      </c>
      <c r="AZ27">
        <v>0</v>
      </c>
      <c r="BA27">
        <v>0</v>
      </c>
      <c r="BB27">
        <v>0.17307692307692307</v>
      </c>
      <c r="BC27">
        <v>2.2115384615384617</v>
      </c>
      <c r="BD27">
        <v>0.11538461538461539</v>
      </c>
      <c r="BE27">
        <v>1.3653846153846154</v>
      </c>
      <c r="BF27">
        <v>0</v>
      </c>
      <c r="BG27" s="116" t="s">
        <v>187</v>
      </c>
      <c r="BH27">
        <v>0.31021194605009633</v>
      </c>
      <c r="BI27">
        <v>7.2292870905587669</v>
      </c>
      <c r="BJ27">
        <v>6.1657032755298651E-2</v>
      </c>
      <c r="BK27">
        <v>1.3333333333333333</v>
      </c>
      <c r="BL27">
        <v>0</v>
      </c>
      <c r="BM27">
        <v>0</v>
      </c>
      <c r="BN27">
        <v>0.1906474820143885</v>
      </c>
      <c r="BO27">
        <v>0.27024722932651324</v>
      </c>
      <c r="BP27">
        <v>53</v>
      </c>
      <c r="BQ27">
        <v>634</v>
      </c>
      <c r="BR27">
        <v>0.16546762589928057</v>
      </c>
      <c r="BS27">
        <v>0.15942028985507245</v>
      </c>
      <c r="BT27">
        <v>46</v>
      </c>
      <c r="BU27">
        <v>374</v>
      </c>
      <c r="BV27">
        <v>5.3956834532374098E-2</v>
      </c>
      <c r="BW27">
        <v>5.7971014492753624E-2</v>
      </c>
      <c r="BX27">
        <v>15</v>
      </c>
      <c r="BY27">
        <v>136</v>
      </c>
      <c r="BZ27">
        <v>4.6762589928057555E-2</v>
      </c>
      <c r="CA27">
        <v>6.1381074168797956E-2</v>
      </c>
      <c r="CB27">
        <v>13</v>
      </c>
      <c r="CC27">
        <v>144</v>
      </c>
      <c r="CD27">
        <v>1.4388489208633094E-2</v>
      </c>
      <c r="CE27">
        <v>4.6035805626598467E-2</v>
      </c>
      <c r="CF27">
        <v>4</v>
      </c>
      <c r="CG27">
        <v>108</v>
      </c>
      <c r="CH27">
        <v>1.7985611510791366E-2</v>
      </c>
      <c r="CI27">
        <v>3.7084398976982097E-2</v>
      </c>
      <c r="CJ27">
        <v>5</v>
      </c>
      <c r="CK27">
        <v>87</v>
      </c>
      <c r="CL27">
        <v>0</v>
      </c>
      <c r="CM27">
        <v>0</v>
      </c>
      <c r="CN27">
        <v>0</v>
      </c>
      <c r="CO27">
        <v>0</v>
      </c>
      <c r="CP27">
        <v>0.1223021582733813</v>
      </c>
      <c r="CQ27">
        <v>3.239556692242114E-2</v>
      </c>
      <c r="CR27">
        <v>34</v>
      </c>
      <c r="CS27">
        <v>76</v>
      </c>
      <c r="CT27">
        <v>6.83453237410072E-2</v>
      </c>
      <c r="CU27">
        <v>5.285592497868713E-2</v>
      </c>
      <c r="CV27">
        <v>19</v>
      </c>
      <c r="CW27">
        <v>124</v>
      </c>
      <c r="CX27">
        <v>0.26618705035971224</v>
      </c>
      <c r="CY27">
        <v>0.25191815856777494</v>
      </c>
      <c r="CZ27">
        <v>74</v>
      </c>
      <c r="DA27">
        <v>591</v>
      </c>
      <c r="DB27">
        <v>5.3956834532374098E-2</v>
      </c>
      <c r="DC27">
        <v>3.0690537084398839E-2</v>
      </c>
      <c r="DD27">
        <v>15</v>
      </c>
      <c r="DE27">
        <v>179.43396226415092</v>
      </c>
      <c r="DF27">
        <v>5.7692307692307696E-2</v>
      </c>
      <c r="DG27">
        <v>0.10597302504816955</v>
      </c>
      <c r="DH27">
        <v>3</v>
      </c>
      <c r="DI27">
        <v>55</v>
      </c>
      <c r="DJ27">
        <v>0.11538461538461539</v>
      </c>
      <c r="DK27">
        <v>5.0096339113680152E-2</v>
      </c>
      <c r="DL27">
        <v>6</v>
      </c>
      <c r="DM27">
        <v>26</v>
      </c>
      <c r="DN27">
        <v>3.8461538461538464E-2</v>
      </c>
      <c r="DO27">
        <v>0.13680154142581888</v>
      </c>
      <c r="DP27">
        <v>2</v>
      </c>
      <c r="DQ27">
        <v>71</v>
      </c>
      <c r="DR27">
        <v>1.9230769230769232E-2</v>
      </c>
      <c r="DS27">
        <v>1.9267822736030827E-2</v>
      </c>
      <c r="DT27">
        <v>1</v>
      </c>
      <c r="DU27">
        <v>10</v>
      </c>
      <c r="DV27">
        <v>3.8461538461538464E-2</v>
      </c>
      <c r="DW27">
        <v>9.8265895953757232E-2</v>
      </c>
      <c r="DX27">
        <v>2</v>
      </c>
      <c r="DY27">
        <v>51</v>
      </c>
      <c r="DZ27">
        <v>9.6153846153846159E-2</v>
      </c>
      <c r="EA27">
        <v>9.6339113680154145E-2</v>
      </c>
      <c r="EB27">
        <v>5</v>
      </c>
      <c r="EC27">
        <v>50</v>
      </c>
      <c r="ED27">
        <v>0.59615384615384615</v>
      </c>
      <c r="EE27">
        <v>0.42003853564547206</v>
      </c>
      <c r="EF27">
        <v>31</v>
      </c>
      <c r="EG27">
        <v>218</v>
      </c>
      <c r="EH27">
        <v>3.8461538461538436E-2</v>
      </c>
      <c r="EI27">
        <v>7.3217726396917149E-2</v>
      </c>
      <c r="EJ27">
        <v>1.9999999999999987</v>
      </c>
      <c r="EK27">
        <v>38</v>
      </c>
      <c r="EL27">
        <v>0</v>
      </c>
      <c r="EM27">
        <v>9.8265895953757232E-2</v>
      </c>
      <c r="EN27">
        <v>0</v>
      </c>
      <c r="EO27">
        <v>51</v>
      </c>
      <c r="EP27">
        <v>1.9230769230769232E-2</v>
      </c>
      <c r="EQ27">
        <v>7.7071290944123308E-2</v>
      </c>
      <c r="ER27">
        <v>1</v>
      </c>
      <c r="ES27">
        <v>40</v>
      </c>
      <c r="ET27">
        <v>0.15384615384615385</v>
      </c>
      <c r="EU27">
        <v>0.50289017341040465</v>
      </c>
      <c r="EV27">
        <v>8</v>
      </c>
      <c r="EW27">
        <v>261</v>
      </c>
      <c r="EX27">
        <v>0</v>
      </c>
      <c r="EY27">
        <v>4.046242774566474E-2</v>
      </c>
      <c r="EZ27">
        <v>0</v>
      </c>
      <c r="FA27">
        <v>21</v>
      </c>
      <c r="FB27">
        <v>0.76923076923076927</v>
      </c>
      <c r="FC27">
        <v>7.7071290944123308E-2</v>
      </c>
      <c r="FD27">
        <v>40</v>
      </c>
      <c r="FE27">
        <v>40</v>
      </c>
      <c r="FF27">
        <v>0</v>
      </c>
      <c r="FG27">
        <v>0.16955684007707128</v>
      </c>
      <c r="FH27">
        <v>0</v>
      </c>
      <c r="FI27">
        <v>88</v>
      </c>
      <c r="FJ27">
        <v>5.7692307692307696E-2</v>
      </c>
      <c r="FK27">
        <v>3.4682080924855488E-2</v>
      </c>
      <c r="FL27">
        <v>3</v>
      </c>
      <c r="FM27">
        <v>18</v>
      </c>
      <c r="FN27">
        <v>4</v>
      </c>
      <c r="FO27">
        <v>108</v>
      </c>
      <c r="FP27">
        <v>4</v>
      </c>
      <c r="FQ27">
        <v>108</v>
      </c>
      <c r="FR27">
        <v>0</v>
      </c>
      <c r="FS27">
        <v>7.407407407407407E-2</v>
      </c>
      <c r="FT27">
        <v>0</v>
      </c>
      <c r="FU27">
        <v>8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0.45370370370370372</v>
      </c>
      <c r="GB27">
        <v>0</v>
      </c>
      <c r="GC27">
        <v>49</v>
      </c>
      <c r="GD27">
        <v>0</v>
      </c>
      <c r="GE27">
        <v>0</v>
      </c>
      <c r="GF27">
        <v>0</v>
      </c>
      <c r="GG27">
        <v>0</v>
      </c>
      <c r="GH27">
        <v>0.75</v>
      </c>
      <c r="GI27">
        <v>2.7777777777777776E-2</v>
      </c>
      <c r="GJ27">
        <v>3</v>
      </c>
      <c r="GK27">
        <v>3</v>
      </c>
      <c r="GL27">
        <v>0</v>
      </c>
      <c r="GM27">
        <v>0.37962962962962965</v>
      </c>
      <c r="GN27">
        <v>0</v>
      </c>
      <c r="GO27">
        <v>41</v>
      </c>
      <c r="GP27">
        <v>0.25</v>
      </c>
      <c r="GQ27">
        <v>6.4814814814814811E-2</v>
      </c>
      <c r="GR27">
        <v>1</v>
      </c>
      <c r="GS27">
        <v>7</v>
      </c>
      <c r="GT27">
        <v>3.8461538461538464E-2</v>
      </c>
      <c r="GU27">
        <v>4.6242774566473986E-2</v>
      </c>
      <c r="GV27">
        <v>2</v>
      </c>
      <c r="GW27">
        <v>24</v>
      </c>
      <c r="GX27">
        <v>1.9230769230769232E-2</v>
      </c>
      <c r="GY27">
        <v>6.5510597302504817E-2</v>
      </c>
      <c r="GZ27">
        <v>1</v>
      </c>
      <c r="HA27">
        <v>34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0</v>
      </c>
      <c r="HJ27">
        <v>0</v>
      </c>
      <c r="HK27">
        <v>0</v>
      </c>
      <c r="HL27">
        <v>0</v>
      </c>
      <c r="HM27">
        <v>0</v>
      </c>
      <c r="HN27">
        <v>0</v>
      </c>
      <c r="HO27">
        <v>0</v>
      </c>
      <c r="HP27">
        <v>0</v>
      </c>
      <c r="HQ27">
        <v>0</v>
      </c>
      <c r="HR27">
        <v>0.92307692307692313</v>
      </c>
      <c r="HS27">
        <v>0.8554913294797688</v>
      </c>
      <c r="HT27">
        <v>48</v>
      </c>
      <c r="HU27">
        <v>444</v>
      </c>
      <c r="HV27">
        <v>1.9230769230769232E-2</v>
      </c>
      <c r="HW27">
        <v>3.2755298651252408E-2</v>
      </c>
      <c r="HX27">
        <v>1</v>
      </c>
      <c r="HY27">
        <v>17</v>
      </c>
      <c r="HZ27">
        <v>0.55555555555555558</v>
      </c>
      <c r="IA27">
        <v>0.47619047619047616</v>
      </c>
      <c r="IB27">
        <v>5</v>
      </c>
      <c r="IC27">
        <v>80</v>
      </c>
      <c r="ID27">
        <v>0.33333333333333331</v>
      </c>
      <c r="IE27">
        <v>0.18452380952380953</v>
      </c>
      <c r="IF27">
        <v>3</v>
      </c>
      <c r="IG27">
        <v>31</v>
      </c>
      <c r="IH27">
        <v>0</v>
      </c>
      <c r="II27">
        <v>4.7619047619047616E-2</v>
      </c>
      <c r="IJ27">
        <v>0</v>
      </c>
      <c r="IK27">
        <v>8</v>
      </c>
      <c r="IL27">
        <v>0</v>
      </c>
      <c r="IM27">
        <v>2.976190476190476E-2</v>
      </c>
      <c r="IN27">
        <v>0</v>
      </c>
      <c r="IO27">
        <v>5</v>
      </c>
      <c r="IP27">
        <v>0.1111111111111111</v>
      </c>
      <c r="IQ27">
        <v>0.26190476190476192</v>
      </c>
      <c r="IR27">
        <v>1</v>
      </c>
      <c r="IS27">
        <v>44</v>
      </c>
      <c r="IT27">
        <v>127.5</v>
      </c>
      <c r="IU27">
        <v>73.745614035087726</v>
      </c>
      <c r="IV27">
        <v>0.5</v>
      </c>
      <c r="IW27">
        <v>0.53508771929824561</v>
      </c>
      <c r="IX27">
        <v>2</v>
      </c>
      <c r="IY27">
        <v>61</v>
      </c>
      <c r="IZ27">
        <v>0.25</v>
      </c>
      <c r="JA27">
        <v>0.14035087719298245</v>
      </c>
      <c r="JB27">
        <v>1</v>
      </c>
      <c r="JC27">
        <v>16</v>
      </c>
      <c r="JD27">
        <v>0</v>
      </c>
      <c r="JE27">
        <v>6.1403508771929821E-2</v>
      </c>
      <c r="JF27">
        <v>0</v>
      </c>
      <c r="JG27">
        <v>7</v>
      </c>
      <c r="JH27">
        <v>0</v>
      </c>
      <c r="JI27">
        <v>1.7543859649122806E-2</v>
      </c>
      <c r="JJ27">
        <v>0</v>
      </c>
      <c r="JK27">
        <v>2</v>
      </c>
      <c r="JL27">
        <v>0.25</v>
      </c>
      <c r="JM27">
        <v>0.24561403508771928</v>
      </c>
      <c r="JN27">
        <v>1</v>
      </c>
      <c r="JO27">
        <v>28</v>
      </c>
      <c r="JP27">
        <v>0.33333333333333331</v>
      </c>
      <c r="JQ27">
        <v>0.2</v>
      </c>
      <c r="JR27">
        <v>2</v>
      </c>
      <c r="JS27">
        <v>6</v>
      </c>
      <c r="JT27">
        <v>0.5</v>
      </c>
      <c r="JU27">
        <v>0.66666666666666663</v>
      </c>
      <c r="JV27">
        <v>3</v>
      </c>
      <c r="JW27">
        <v>20</v>
      </c>
      <c r="JX27">
        <v>0</v>
      </c>
      <c r="JY27">
        <v>0</v>
      </c>
      <c r="JZ27">
        <v>0</v>
      </c>
      <c r="KA27">
        <v>0</v>
      </c>
      <c r="KB27">
        <v>0</v>
      </c>
      <c r="KC27">
        <v>0</v>
      </c>
      <c r="KD27">
        <v>0</v>
      </c>
      <c r="KE27">
        <v>0</v>
      </c>
      <c r="KF27">
        <v>0.16666666666666674</v>
      </c>
      <c r="KG27">
        <v>0.1333333333333333</v>
      </c>
      <c r="KH27">
        <v>1</v>
      </c>
      <c r="KI27">
        <v>4</v>
      </c>
      <c r="KJ27">
        <v>0.16666666666666666</v>
      </c>
      <c r="KK27">
        <v>0.1</v>
      </c>
      <c r="KL27">
        <v>1</v>
      </c>
      <c r="KM27">
        <v>3</v>
      </c>
      <c r="KN27">
        <v>0.16666666666666666</v>
      </c>
      <c r="KO27">
        <v>0.23333333333333334</v>
      </c>
      <c r="KP27">
        <v>1</v>
      </c>
      <c r="KQ27">
        <v>7</v>
      </c>
      <c r="KR27">
        <v>0.16666666666666666</v>
      </c>
      <c r="KS27">
        <v>0.13333333333333333</v>
      </c>
      <c r="KT27">
        <v>1</v>
      </c>
      <c r="KU27">
        <v>4</v>
      </c>
      <c r="KV27">
        <v>0</v>
      </c>
      <c r="KW27">
        <v>0.16666666666666666</v>
      </c>
      <c r="KX27">
        <v>0</v>
      </c>
      <c r="KY27">
        <v>5</v>
      </c>
      <c r="KZ27">
        <v>0.5</v>
      </c>
      <c r="LA27">
        <v>0.3666666666666667</v>
      </c>
      <c r="LB27">
        <v>3</v>
      </c>
      <c r="LC27">
        <v>11</v>
      </c>
      <c r="LD27">
        <v>0.55769230769230771</v>
      </c>
      <c r="LE27">
        <v>0.51923076923076927</v>
      </c>
      <c r="LF27">
        <v>0</v>
      </c>
      <c r="LG27">
        <v>3.8461538461538436E-2</v>
      </c>
      <c r="LH27">
        <v>0.39691714836223507</v>
      </c>
      <c r="LI27">
        <v>0.34874759152215801</v>
      </c>
      <c r="LJ27">
        <v>9.6339113680154135E-3</v>
      </c>
      <c r="LK27">
        <v>3.8535645472061675E-2</v>
      </c>
    </row>
    <row r="28" spans="1:323" x14ac:dyDescent="0.25">
      <c r="A28" t="s">
        <v>15</v>
      </c>
      <c r="B28" t="s">
        <v>58</v>
      </c>
      <c r="C28" t="s">
        <v>178</v>
      </c>
      <c r="D28">
        <v>0</v>
      </c>
      <c r="E28">
        <v>6.1728395061728392E-2</v>
      </c>
      <c r="F28">
        <v>0.2139917695473251</v>
      </c>
      <c r="G28">
        <v>0.3991769547325103</v>
      </c>
      <c r="H28">
        <v>0.32510288065843623</v>
      </c>
      <c r="I28">
        <v>1.1579818031430935E-2</v>
      </c>
      <c r="J28">
        <v>6.1621174524400329E-2</v>
      </c>
      <c r="K28">
        <v>0.21464019851116625</v>
      </c>
      <c r="L28">
        <v>0.44582299421009097</v>
      </c>
      <c r="M28">
        <v>0.26633581472291151</v>
      </c>
      <c r="N28">
        <v>0.78350515463917525</v>
      </c>
      <c r="O28">
        <v>0.21649484536082475</v>
      </c>
      <c r="P28">
        <v>0.74953617810760664</v>
      </c>
      <c r="Q28">
        <v>0.25046382189239336</v>
      </c>
      <c r="R28">
        <v>97</v>
      </c>
      <c r="S28">
        <v>66.762886597938149</v>
      </c>
      <c r="T28">
        <v>10</v>
      </c>
      <c r="U28">
        <v>12.216494845360824</v>
      </c>
      <c r="V28">
        <v>4.731958762886598</v>
      </c>
      <c r="W28">
        <v>33.505154639175259</v>
      </c>
      <c r="X28">
        <v>1078</v>
      </c>
      <c r="Y28">
        <v>66.545454545454547</v>
      </c>
      <c r="Z28">
        <v>117</v>
      </c>
      <c r="AA28">
        <v>11.397959183673469</v>
      </c>
      <c r="AB28">
        <v>4.1419294990723561</v>
      </c>
      <c r="AC28">
        <v>33.974953617810762</v>
      </c>
      <c r="AD28">
        <v>0.65890410958904111</v>
      </c>
      <c r="AE28">
        <v>0.54749015748031493</v>
      </c>
      <c r="AF28">
        <v>481</v>
      </c>
      <c r="AG28">
        <v>4450</v>
      </c>
      <c r="AH28">
        <v>0.33013698630136984</v>
      </c>
      <c r="AI28">
        <v>0.43085629921259844</v>
      </c>
      <c r="AJ28">
        <v>241</v>
      </c>
      <c r="AK28">
        <v>3502</v>
      </c>
      <c r="AL28">
        <v>9.5890410958904115E-3</v>
      </c>
      <c r="AM28">
        <v>1.7470472440944882E-2</v>
      </c>
      <c r="AN28">
        <v>7</v>
      </c>
      <c r="AO28">
        <v>142</v>
      </c>
      <c r="AP28">
        <v>0</v>
      </c>
      <c r="AQ28">
        <v>1.3533464566929134E-3</v>
      </c>
      <c r="AR28">
        <v>0</v>
      </c>
      <c r="AS28">
        <v>11</v>
      </c>
      <c r="AT28">
        <v>1.3698630136986301E-3</v>
      </c>
      <c r="AU28">
        <v>2.7066929133858267E-3</v>
      </c>
      <c r="AV28">
        <v>1</v>
      </c>
      <c r="AW28">
        <v>22</v>
      </c>
      <c r="AX28">
        <v>0</v>
      </c>
      <c r="AY28">
        <v>1.2303149606299212E-4</v>
      </c>
      <c r="AZ28">
        <v>0</v>
      </c>
      <c r="BA28">
        <v>1</v>
      </c>
      <c r="BB28">
        <v>0.34020618556701032</v>
      </c>
      <c r="BC28">
        <v>5.6185567010309274</v>
      </c>
      <c r="BD28">
        <v>5.1546391752577317E-2</v>
      </c>
      <c r="BE28">
        <v>2.4123711340206184</v>
      </c>
      <c r="BF28">
        <v>0</v>
      </c>
      <c r="BG28" s="116" t="s">
        <v>187</v>
      </c>
      <c r="BH28">
        <v>0.3432282003710575</v>
      </c>
      <c r="BI28">
        <v>8.3079777365491658</v>
      </c>
      <c r="BJ28">
        <v>6.4007421150278299E-2</v>
      </c>
      <c r="BK28">
        <v>1.5213358070500929</v>
      </c>
      <c r="BL28">
        <v>7.4211502782931356E-3</v>
      </c>
      <c r="BM28">
        <v>0.13636363636363635</v>
      </c>
      <c r="BN28">
        <v>0.15904139433551198</v>
      </c>
      <c r="BO28">
        <v>0.19955207166853303</v>
      </c>
      <c r="BP28">
        <v>73</v>
      </c>
      <c r="BQ28">
        <v>891</v>
      </c>
      <c r="BR28">
        <v>0.16993464052287582</v>
      </c>
      <c r="BS28">
        <v>0.18096304591265397</v>
      </c>
      <c r="BT28">
        <v>78</v>
      </c>
      <c r="BU28">
        <v>808</v>
      </c>
      <c r="BV28">
        <v>3.4858387799564274E-2</v>
      </c>
      <c r="BW28">
        <v>5.4647256438969762E-2</v>
      </c>
      <c r="BX28">
        <v>16</v>
      </c>
      <c r="BY28">
        <v>244</v>
      </c>
      <c r="BZ28">
        <v>5.2287581699346407E-2</v>
      </c>
      <c r="CA28">
        <v>6.2933930571108618E-2</v>
      </c>
      <c r="CB28">
        <v>24</v>
      </c>
      <c r="CC28">
        <v>281</v>
      </c>
      <c r="CD28">
        <v>6.3180827886710242E-2</v>
      </c>
      <c r="CE28">
        <v>5.6886898096304594E-2</v>
      </c>
      <c r="CF28">
        <v>29</v>
      </c>
      <c r="CG28">
        <v>254</v>
      </c>
      <c r="CH28">
        <v>1.9607843137254902E-2</v>
      </c>
      <c r="CI28">
        <v>4.0985442329227323E-2</v>
      </c>
      <c r="CJ28">
        <v>9</v>
      </c>
      <c r="CK28">
        <v>183</v>
      </c>
      <c r="CL28">
        <v>0</v>
      </c>
      <c r="CM28">
        <v>0</v>
      </c>
      <c r="CN28">
        <v>0</v>
      </c>
      <c r="CO28">
        <v>0</v>
      </c>
      <c r="CP28">
        <v>0.10675381263616558</v>
      </c>
      <c r="CQ28">
        <v>2.553191489361702E-2</v>
      </c>
      <c r="CR28">
        <v>49</v>
      </c>
      <c r="CS28">
        <v>114</v>
      </c>
      <c r="CT28">
        <v>4.357298474945534E-2</v>
      </c>
      <c r="CU28">
        <v>5.3751399776035831E-2</v>
      </c>
      <c r="CV28">
        <v>20</v>
      </c>
      <c r="CW28">
        <v>240</v>
      </c>
      <c r="CX28">
        <v>0.33333333333333331</v>
      </c>
      <c r="CY28">
        <v>0.29832026875699891</v>
      </c>
      <c r="CZ28">
        <v>153</v>
      </c>
      <c r="DA28">
        <v>1332</v>
      </c>
      <c r="DB28">
        <v>1.7429193899782147E-2</v>
      </c>
      <c r="DC28">
        <v>2.642777155655085E-2</v>
      </c>
      <c r="DD28">
        <v>8.0000000000000053</v>
      </c>
      <c r="DE28">
        <v>97.643835616438423</v>
      </c>
      <c r="DF28">
        <v>0.1134020618556701</v>
      </c>
      <c r="DG28">
        <v>9.9257884972170682E-2</v>
      </c>
      <c r="DH28">
        <v>11</v>
      </c>
      <c r="DI28">
        <v>107</v>
      </c>
      <c r="DJ28">
        <v>0.1134020618556701</v>
      </c>
      <c r="DK28">
        <v>5.1948051948051951E-2</v>
      </c>
      <c r="DL28">
        <v>11</v>
      </c>
      <c r="DM28">
        <v>56</v>
      </c>
      <c r="DN28">
        <v>6.1855670103092786E-2</v>
      </c>
      <c r="DO28">
        <v>0.13358070500927643</v>
      </c>
      <c r="DP28">
        <v>6</v>
      </c>
      <c r="DQ28">
        <v>144</v>
      </c>
      <c r="DR28">
        <v>1.0309278350515464E-2</v>
      </c>
      <c r="DS28">
        <v>2.8756957328385901E-2</v>
      </c>
      <c r="DT28">
        <v>1</v>
      </c>
      <c r="DU28">
        <v>31</v>
      </c>
      <c r="DV28">
        <v>7.2164948453608241E-2</v>
      </c>
      <c r="DW28">
        <v>6.4007421150278299E-2</v>
      </c>
      <c r="DX28">
        <v>7</v>
      </c>
      <c r="DY28">
        <v>69</v>
      </c>
      <c r="DZ28">
        <v>9.2783505154639179E-2</v>
      </c>
      <c r="EA28">
        <v>0.1038961038961039</v>
      </c>
      <c r="EB28">
        <v>9</v>
      </c>
      <c r="EC28">
        <v>112</v>
      </c>
      <c r="ED28">
        <v>0.45360824742268041</v>
      </c>
      <c r="EE28">
        <v>0.44434137291280146</v>
      </c>
      <c r="EF28">
        <v>44</v>
      </c>
      <c r="EG28">
        <v>479</v>
      </c>
      <c r="EH28">
        <v>8.247422680412364E-2</v>
      </c>
      <c r="EI28">
        <v>7.4211502782931316E-2</v>
      </c>
      <c r="EJ28">
        <v>7.9999999999999929</v>
      </c>
      <c r="EK28">
        <v>79.999999999999957</v>
      </c>
      <c r="EL28">
        <v>1.0309278350515464E-2</v>
      </c>
      <c r="EM28">
        <v>9.5547309833024119E-2</v>
      </c>
      <c r="EN28">
        <v>1</v>
      </c>
      <c r="EO28">
        <v>103</v>
      </c>
      <c r="EP28">
        <v>0</v>
      </c>
      <c r="EQ28">
        <v>8.1632653061224483E-2</v>
      </c>
      <c r="ER28">
        <v>0</v>
      </c>
      <c r="ES28">
        <v>88</v>
      </c>
      <c r="ET28">
        <v>0.15463917525773196</v>
      </c>
      <c r="EU28">
        <v>0.50371057513914652</v>
      </c>
      <c r="EV28">
        <v>15</v>
      </c>
      <c r="EW28">
        <v>543</v>
      </c>
      <c r="EX28">
        <v>0</v>
      </c>
      <c r="EY28">
        <v>4.6382189239332093E-2</v>
      </c>
      <c r="EZ28">
        <v>0</v>
      </c>
      <c r="FA28">
        <v>50</v>
      </c>
      <c r="FB28">
        <v>0.73195876288659789</v>
      </c>
      <c r="FC28">
        <v>6.5862708719851573E-2</v>
      </c>
      <c r="FD28">
        <v>71</v>
      </c>
      <c r="FE28">
        <v>71</v>
      </c>
      <c r="FF28">
        <v>0</v>
      </c>
      <c r="FG28">
        <v>0.14935064935064934</v>
      </c>
      <c r="FH28">
        <v>0</v>
      </c>
      <c r="FI28">
        <v>161</v>
      </c>
      <c r="FJ28">
        <v>0.10309278350515463</v>
      </c>
      <c r="FK28">
        <v>5.7513914656771803E-2</v>
      </c>
      <c r="FL28">
        <v>10</v>
      </c>
      <c r="FM28">
        <v>62</v>
      </c>
      <c r="FN28">
        <v>29</v>
      </c>
      <c r="FO28">
        <v>254</v>
      </c>
      <c r="FP28">
        <v>29</v>
      </c>
      <c r="FQ28">
        <v>254</v>
      </c>
      <c r="FR28">
        <v>0</v>
      </c>
      <c r="FS28">
        <v>7.874015748031496E-2</v>
      </c>
      <c r="FT28">
        <v>0</v>
      </c>
      <c r="FU28">
        <v>20</v>
      </c>
      <c r="FV28">
        <v>0</v>
      </c>
      <c r="FW28">
        <v>0</v>
      </c>
      <c r="FX28">
        <v>0</v>
      </c>
      <c r="FY28">
        <v>0</v>
      </c>
      <c r="FZ28">
        <v>0.41379310344827586</v>
      </c>
      <c r="GA28">
        <v>0.48031496062992124</v>
      </c>
      <c r="GB28">
        <v>12</v>
      </c>
      <c r="GC28">
        <v>122</v>
      </c>
      <c r="GD28">
        <v>0</v>
      </c>
      <c r="GE28">
        <v>0</v>
      </c>
      <c r="GF28">
        <v>0</v>
      </c>
      <c r="GG28">
        <v>0</v>
      </c>
      <c r="GH28">
        <v>0.44827586206896552</v>
      </c>
      <c r="GI28">
        <v>5.1181102362204724E-2</v>
      </c>
      <c r="GJ28">
        <v>13</v>
      </c>
      <c r="GK28">
        <v>13</v>
      </c>
      <c r="GL28">
        <v>0</v>
      </c>
      <c r="GM28">
        <v>0.29527559055118108</v>
      </c>
      <c r="GN28">
        <v>0</v>
      </c>
      <c r="GO28">
        <v>75</v>
      </c>
      <c r="GP28">
        <v>0.13793103448275862</v>
      </c>
      <c r="GQ28">
        <v>9.4488188976377951E-2</v>
      </c>
      <c r="GR28">
        <v>4</v>
      </c>
      <c r="GS28">
        <v>24</v>
      </c>
      <c r="GT28">
        <v>5.1546391752577317E-2</v>
      </c>
      <c r="GU28">
        <v>3.7105751391465679E-2</v>
      </c>
      <c r="GV28">
        <v>5</v>
      </c>
      <c r="GW28">
        <v>40</v>
      </c>
      <c r="GX28">
        <v>6.1855670103092786E-2</v>
      </c>
      <c r="GY28">
        <v>7.2356215213358069E-2</v>
      </c>
      <c r="GZ28">
        <v>6</v>
      </c>
      <c r="HA28">
        <v>78</v>
      </c>
      <c r="HB28">
        <v>0</v>
      </c>
      <c r="HC28">
        <v>9.2764378478664194E-4</v>
      </c>
      <c r="HD28">
        <v>0</v>
      </c>
      <c r="HE28">
        <v>1</v>
      </c>
      <c r="HF28">
        <v>0</v>
      </c>
      <c r="HG28">
        <v>9.2764378478664194E-4</v>
      </c>
      <c r="HH28">
        <v>0</v>
      </c>
      <c r="HI28">
        <v>1</v>
      </c>
      <c r="HJ28">
        <v>0</v>
      </c>
      <c r="HK28">
        <v>0</v>
      </c>
      <c r="HL28">
        <v>0</v>
      </c>
      <c r="HM28">
        <v>0</v>
      </c>
      <c r="HN28">
        <v>0</v>
      </c>
      <c r="HO28">
        <v>0</v>
      </c>
      <c r="HP28">
        <v>0</v>
      </c>
      <c r="HQ28">
        <v>0</v>
      </c>
      <c r="HR28">
        <v>0.82474226804123707</v>
      </c>
      <c r="HS28">
        <v>0.81168831168831168</v>
      </c>
      <c r="HT28">
        <v>80</v>
      </c>
      <c r="HU28">
        <v>875</v>
      </c>
      <c r="HV28">
        <v>6.1855670103092786E-2</v>
      </c>
      <c r="HW28">
        <v>7.6994434137291276E-2</v>
      </c>
      <c r="HX28">
        <v>6</v>
      </c>
      <c r="HY28">
        <v>83</v>
      </c>
      <c r="HZ28">
        <v>0.60606060606060608</v>
      </c>
      <c r="IA28">
        <v>0.4921875</v>
      </c>
      <c r="IB28">
        <v>20</v>
      </c>
      <c r="IC28">
        <v>189</v>
      </c>
      <c r="ID28">
        <v>6.0606060606060608E-2</v>
      </c>
      <c r="IE28">
        <v>0.16927083333333334</v>
      </c>
      <c r="IF28">
        <v>2</v>
      </c>
      <c r="IG28">
        <v>65</v>
      </c>
      <c r="IH28">
        <v>9.0909090909090912E-2</v>
      </c>
      <c r="II28">
        <v>5.46875E-2</v>
      </c>
      <c r="IJ28">
        <v>3</v>
      </c>
      <c r="IK28">
        <v>21</v>
      </c>
      <c r="IL28">
        <v>0</v>
      </c>
      <c r="IM28">
        <v>4.9479166666666664E-2</v>
      </c>
      <c r="IN28">
        <v>0</v>
      </c>
      <c r="IO28">
        <v>19</v>
      </c>
      <c r="IP28">
        <v>0.24242424242424243</v>
      </c>
      <c r="IQ28">
        <v>0.234375</v>
      </c>
      <c r="IR28">
        <v>8</v>
      </c>
      <c r="IS28">
        <v>90</v>
      </c>
      <c r="IT28">
        <v>101.5</v>
      </c>
      <c r="IU28">
        <v>73.793893129770993</v>
      </c>
      <c r="IV28">
        <v>0.66666666666666663</v>
      </c>
      <c r="IW28">
        <v>0.58778625954198471</v>
      </c>
      <c r="IX28">
        <v>16</v>
      </c>
      <c r="IY28">
        <v>154</v>
      </c>
      <c r="IZ28">
        <v>8.3333333333333329E-2</v>
      </c>
      <c r="JA28">
        <v>0.14503816793893129</v>
      </c>
      <c r="JB28">
        <v>2</v>
      </c>
      <c r="JC28">
        <v>38</v>
      </c>
      <c r="JD28">
        <v>0.125</v>
      </c>
      <c r="JE28">
        <v>5.7251908396946563E-2</v>
      </c>
      <c r="JF28">
        <v>3</v>
      </c>
      <c r="JG28">
        <v>15</v>
      </c>
      <c r="JH28">
        <v>0</v>
      </c>
      <c r="JI28">
        <v>3.8167938931297711E-2</v>
      </c>
      <c r="JJ28">
        <v>0</v>
      </c>
      <c r="JK28">
        <v>10</v>
      </c>
      <c r="JL28">
        <v>0.125</v>
      </c>
      <c r="JM28">
        <v>0.1717557251908397</v>
      </c>
      <c r="JN28">
        <v>3</v>
      </c>
      <c r="JO28">
        <v>45</v>
      </c>
      <c r="JP28">
        <v>0.2</v>
      </c>
      <c r="JQ28">
        <v>5.6338028169014086E-2</v>
      </c>
      <c r="JR28">
        <v>1</v>
      </c>
      <c r="JS28">
        <v>4</v>
      </c>
      <c r="JT28">
        <v>0.6</v>
      </c>
      <c r="JU28">
        <v>0.647887323943662</v>
      </c>
      <c r="JV28">
        <v>3</v>
      </c>
      <c r="JW28">
        <v>46</v>
      </c>
      <c r="JX28">
        <v>0</v>
      </c>
      <c r="JY28">
        <v>0.12676056338028169</v>
      </c>
      <c r="JZ28">
        <v>0</v>
      </c>
      <c r="KA28">
        <v>9</v>
      </c>
      <c r="KB28">
        <v>0</v>
      </c>
      <c r="KC28">
        <v>7.0422535211267609E-2</v>
      </c>
      <c r="KD28">
        <v>0</v>
      </c>
      <c r="KE28">
        <v>5</v>
      </c>
      <c r="KF28">
        <v>0.19999999999999996</v>
      </c>
      <c r="KG28">
        <v>9.8591549295774628E-2</v>
      </c>
      <c r="KH28">
        <v>1</v>
      </c>
      <c r="KI28">
        <v>7</v>
      </c>
      <c r="KJ28">
        <v>0</v>
      </c>
      <c r="KK28">
        <v>0.21126760563380281</v>
      </c>
      <c r="KL28">
        <v>0</v>
      </c>
      <c r="KM28">
        <v>15</v>
      </c>
      <c r="KN28">
        <v>0.2</v>
      </c>
      <c r="KO28">
        <v>0.14084507042253522</v>
      </c>
      <c r="KP28">
        <v>1</v>
      </c>
      <c r="KQ28">
        <v>10</v>
      </c>
      <c r="KR28">
        <v>0.2</v>
      </c>
      <c r="KS28">
        <v>0.19718309859154928</v>
      </c>
      <c r="KT28">
        <v>1</v>
      </c>
      <c r="KU28">
        <v>14</v>
      </c>
      <c r="KV28">
        <v>0.4</v>
      </c>
      <c r="KW28">
        <v>5.6338028169014086E-2</v>
      </c>
      <c r="KX28">
        <v>2</v>
      </c>
      <c r="KY28">
        <v>4</v>
      </c>
      <c r="KZ28">
        <v>0.19999999999999996</v>
      </c>
      <c r="LA28">
        <v>0.39436619718309862</v>
      </c>
      <c r="LB28">
        <v>1</v>
      </c>
      <c r="LC28">
        <v>28</v>
      </c>
      <c r="LD28">
        <v>0.42268041237113402</v>
      </c>
      <c r="LE28">
        <v>0.41237113402061853</v>
      </c>
      <c r="LF28">
        <v>2.0618556701030927E-2</v>
      </c>
      <c r="LG28">
        <v>-1.0309278350515427E-2</v>
      </c>
      <c r="LH28">
        <v>0.41651205936920221</v>
      </c>
      <c r="LI28">
        <v>0.3784786641929499</v>
      </c>
      <c r="LJ28">
        <v>1.1131725417439703E-2</v>
      </c>
      <c r="LK28">
        <v>2.6901669758812585E-2</v>
      </c>
    </row>
    <row r="29" spans="1:323" x14ac:dyDescent="0.25">
      <c r="A29" t="s">
        <v>15</v>
      </c>
      <c r="B29" t="s">
        <v>59</v>
      </c>
      <c r="C29" t="s">
        <v>179</v>
      </c>
      <c r="D29">
        <v>0</v>
      </c>
      <c r="E29">
        <v>6.1728395061728392E-2</v>
      </c>
      <c r="F29">
        <v>0.2139917695473251</v>
      </c>
      <c r="G29">
        <v>0.3991769547325103</v>
      </c>
      <c r="H29">
        <v>0.32510288065843623</v>
      </c>
      <c r="I29">
        <v>1.1579818031430935E-2</v>
      </c>
      <c r="J29">
        <v>6.1621174524400329E-2</v>
      </c>
      <c r="K29">
        <v>0.21464019851116625</v>
      </c>
      <c r="L29">
        <v>0.44582299421009097</v>
      </c>
      <c r="M29">
        <v>0.26633581472291151</v>
      </c>
      <c r="N29">
        <v>0.72151898734177211</v>
      </c>
      <c r="O29">
        <v>0.27848101265822789</v>
      </c>
      <c r="P29">
        <v>0.7003105590062112</v>
      </c>
      <c r="Q29">
        <v>0.2996894409937888</v>
      </c>
      <c r="R29">
        <v>79</v>
      </c>
      <c r="S29">
        <v>81.151898734177209</v>
      </c>
      <c r="T29">
        <v>15</v>
      </c>
      <c r="U29">
        <v>6.2658227848101262</v>
      </c>
      <c r="V29">
        <v>3.6455696202531644</v>
      </c>
      <c r="W29">
        <v>23.189873417721518</v>
      </c>
      <c r="X29">
        <v>644</v>
      </c>
      <c r="Y29">
        <v>80.83229813664596</v>
      </c>
      <c r="Z29">
        <v>136</v>
      </c>
      <c r="AA29">
        <v>6.2204968944099379</v>
      </c>
      <c r="AB29">
        <v>3.0077639751552794</v>
      </c>
      <c r="AC29">
        <v>25.451863354037268</v>
      </c>
      <c r="AD29">
        <v>0.905829596412556</v>
      </c>
      <c r="AE29">
        <v>0.68690095846645371</v>
      </c>
      <c r="AF29">
        <v>202</v>
      </c>
      <c r="AG29">
        <v>1505</v>
      </c>
      <c r="AH29">
        <v>7.623318385650224E-2</v>
      </c>
      <c r="AI29">
        <v>0.25011410314924692</v>
      </c>
      <c r="AJ29">
        <v>17</v>
      </c>
      <c r="AK29">
        <v>548</v>
      </c>
      <c r="AL29">
        <v>1.7937219730941704E-2</v>
      </c>
      <c r="AM29">
        <v>2.4189867640346873E-2</v>
      </c>
      <c r="AN29">
        <v>4</v>
      </c>
      <c r="AO29">
        <v>53</v>
      </c>
      <c r="AP29">
        <v>0</v>
      </c>
      <c r="AQ29">
        <v>3.8795070743952532E-2</v>
      </c>
      <c r="AR29">
        <v>0</v>
      </c>
      <c r="AS29">
        <v>85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0.35443037974683544</v>
      </c>
      <c r="BC29">
        <v>6.7215189873417724</v>
      </c>
      <c r="BD29">
        <v>6.3291139240506333E-2</v>
      </c>
      <c r="BE29">
        <v>1</v>
      </c>
      <c r="BF29">
        <v>0</v>
      </c>
      <c r="BG29" s="116" t="s">
        <v>187</v>
      </c>
      <c r="BH29">
        <v>0.34937888198757766</v>
      </c>
      <c r="BI29">
        <v>8.9145962732919255</v>
      </c>
      <c r="BJ29">
        <v>6.8322981366459631E-2</v>
      </c>
      <c r="BK29">
        <v>2.4798136645962732</v>
      </c>
      <c r="BL29">
        <v>4.658385093167702E-3</v>
      </c>
      <c r="BM29">
        <v>0.12111801242236025</v>
      </c>
      <c r="BN29">
        <v>9.7222222222222224E-2</v>
      </c>
      <c r="BO29">
        <v>9.2927207021166747E-2</v>
      </c>
      <c r="BP29">
        <v>28</v>
      </c>
      <c r="BQ29">
        <v>180</v>
      </c>
      <c r="BR29">
        <v>0.23958333333333334</v>
      </c>
      <c r="BS29">
        <v>0.27826535880227155</v>
      </c>
      <c r="BT29">
        <v>69</v>
      </c>
      <c r="BU29">
        <v>539</v>
      </c>
      <c r="BV29">
        <v>3.4722222222222224E-2</v>
      </c>
      <c r="BW29">
        <v>7.7955601445534331E-2</v>
      </c>
      <c r="BX29">
        <v>10</v>
      </c>
      <c r="BY29">
        <v>151</v>
      </c>
      <c r="BZ29">
        <v>2.0833333333333332E-2</v>
      </c>
      <c r="CA29">
        <v>4.4914816726897261E-2</v>
      </c>
      <c r="CB29">
        <v>6</v>
      </c>
      <c r="CC29">
        <v>87</v>
      </c>
      <c r="CD29">
        <v>4.8611111111111112E-2</v>
      </c>
      <c r="CE29">
        <v>4.2849767681982447E-2</v>
      </c>
      <c r="CF29">
        <v>14</v>
      </c>
      <c r="CG29">
        <v>83</v>
      </c>
      <c r="CH29">
        <v>1.7361111111111112E-2</v>
      </c>
      <c r="CI29">
        <v>3.4589571502323183E-2</v>
      </c>
      <c r="CJ29">
        <v>5</v>
      </c>
      <c r="CK29">
        <v>67</v>
      </c>
      <c r="CL29">
        <v>0</v>
      </c>
      <c r="CM29">
        <v>0</v>
      </c>
      <c r="CN29">
        <v>0</v>
      </c>
      <c r="CO29">
        <v>0</v>
      </c>
      <c r="CP29">
        <v>0.16319444444444445</v>
      </c>
      <c r="CQ29">
        <v>3.7170882808466699E-2</v>
      </c>
      <c r="CR29">
        <v>47</v>
      </c>
      <c r="CS29">
        <v>72</v>
      </c>
      <c r="CT29">
        <v>3.125E-2</v>
      </c>
      <c r="CU29">
        <v>5.7305110996386167E-2</v>
      </c>
      <c r="CV29">
        <v>9</v>
      </c>
      <c r="CW29">
        <v>111</v>
      </c>
      <c r="CX29">
        <v>0.33680555555555558</v>
      </c>
      <c r="CY29">
        <v>0.31078988125967993</v>
      </c>
      <c r="CZ29">
        <v>97</v>
      </c>
      <c r="DA29">
        <v>602</v>
      </c>
      <c r="DB29">
        <v>1.041666666666663E-2</v>
      </c>
      <c r="DC29">
        <v>2.3231801755291714E-2</v>
      </c>
      <c r="DD29">
        <v>2.9999999999999893</v>
      </c>
      <c r="DE29">
        <v>19.285714285714217</v>
      </c>
      <c r="DF29">
        <v>0.15189873417721519</v>
      </c>
      <c r="DG29">
        <v>6.9875776397515521E-2</v>
      </c>
      <c r="DH29">
        <v>12</v>
      </c>
      <c r="DI29">
        <v>45</v>
      </c>
      <c r="DJ29">
        <v>1.2658227848101266E-2</v>
      </c>
      <c r="DK29">
        <v>2.4844720496894408E-2</v>
      </c>
      <c r="DL29">
        <v>1</v>
      </c>
      <c r="DM29">
        <v>16</v>
      </c>
      <c r="DN29">
        <v>5.0632911392405063E-2</v>
      </c>
      <c r="DO29">
        <v>9.3167701863354033E-2</v>
      </c>
      <c r="DP29">
        <v>4</v>
      </c>
      <c r="DQ29">
        <v>60</v>
      </c>
      <c r="DR29">
        <v>0</v>
      </c>
      <c r="DS29">
        <v>5.5900621118012424E-2</v>
      </c>
      <c r="DT29">
        <v>0</v>
      </c>
      <c r="DU29">
        <v>36</v>
      </c>
      <c r="DV29">
        <v>7.5949367088607597E-2</v>
      </c>
      <c r="DW29">
        <v>3.1055900621118012E-2</v>
      </c>
      <c r="DX29">
        <v>6</v>
      </c>
      <c r="DY29">
        <v>20</v>
      </c>
      <c r="DZ29">
        <v>2.5316455696202531E-2</v>
      </c>
      <c r="EA29">
        <v>7.2981366459627328E-2</v>
      </c>
      <c r="EB29">
        <v>2</v>
      </c>
      <c r="EC29">
        <v>47</v>
      </c>
      <c r="ED29">
        <v>0.64556962025316456</v>
      </c>
      <c r="EE29">
        <v>0.59472049689440998</v>
      </c>
      <c r="EF29">
        <v>51</v>
      </c>
      <c r="EG29">
        <v>383</v>
      </c>
      <c r="EH29">
        <v>3.7974683544303778E-2</v>
      </c>
      <c r="EI29">
        <v>5.7453416149068293E-2</v>
      </c>
      <c r="EJ29">
        <v>2.9999999999999982</v>
      </c>
      <c r="EK29">
        <v>36.999999999999986</v>
      </c>
      <c r="EL29">
        <v>0</v>
      </c>
      <c r="EM29">
        <v>0.11801242236024845</v>
      </c>
      <c r="EN29">
        <v>0</v>
      </c>
      <c r="EO29">
        <v>76</v>
      </c>
      <c r="EP29">
        <v>0</v>
      </c>
      <c r="EQ29">
        <v>7.1428571428571425E-2</v>
      </c>
      <c r="ER29">
        <v>0</v>
      </c>
      <c r="ES29">
        <v>46</v>
      </c>
      <c r="ET29">
        <v>5.0632911392405063E-2</v>
      </c>
      <c r="EU29">
        <v>0.41770186335403725</v>
      </c>
      <c r="EV29">
        <v>4</v>
      </c>
      <c r="EW29">
        <v>269</v>
      </c>
      <c r="EX29">
        <v>0</v>
      </c>
      <c r="EY29">
        <v>5.434782608695652E-2</v>
      </c>
      <c r="EZ29">
        <v>0</v>
      </c>
      <c r="FA29">
        <v>35</v>
      </c>
      <c r="FB29">
        <v>0.87341772151898733</v>
      </c>
      <c r="FC29">
        <v>0.10869565217391304</v>
      </c>
      <c r="FD29">
        <v>69</v>
      </c>
      <c r="FE29">
        <v>70</v>
      </c>
      <c r="FF29">
        <v>0</v>
      </c>
      <c r="FG29">
        <v>0.18012422360248448</v>
      </c>
      <c r="FH29">
        <v>0</v>
      </c>
      <c r="FI29">
        <v>116</v>
      </c>
      <c r="FJ29">
        <v>7.5949367088607597E-2</v>
      </c>
      <c r="FK29">
        <v>4.9689440993788817E-2</v>
      </c>
      <c r="FL29">
        <v>6</v>
      </c>
      <c r="FM29">
        <v>32</v>
      </c>
      <c r="FN29">
        <v>14</v>
      </c>
      <c r="FO29">
        <v>83</v>
      </c>
      <c r="FP29">
        <v>14</v>
      </c>
      <c r="FQ29">
        <v>83</v>
      </c>
      <c r="FR29">
        <v>0</v>
      </c>
      <c r="FS29">
        <v>0.13253012048192772</v>
      </c>
      <c r="FT29">
        <v>0</v>
      </c>
      <c r="FU29">
        <v>11</v>
      </c>
      <c r="FV29">
        <v>0</v>
      </c>
      <c r="FW29">
        <v>0</v>
      </c>
      <c r="FX29">
        <v>0</v>
      </c>
      <c r="FY29">
        <v>0</v>
      </c>
      <c r="FZ29">
        <v>7.1428571428571425E-2</v>
      </c>
      <c r="GA29">
        <v>0.31325301204819278</v>
      </c>
      <c r="GB29">
        <v>1</v>
      </c>
      <c r="GC29">
        <v>26</v>
      </c>
      <c r="GD29">
        <v>0</v>
      </c>
      <c r="GE29">
        <v>0</v>
      </c>
      <c r="GF29">
        <v>0</v>
      </c>
      <c r="GG29">
        <v>0</v>
      </c>
      <c r="GH29">
        <v>0.7857142857142857</v>
      </c>
      <c r="GI29">
        <v>0.13253012048192772</v>
      </c>
      <c r="GJ29">
        <v>11</v>
      </c>
      <c r="GK29">
        <v>11</v>
      </c>
      <c r="GL29">
        <v>0</v>
      </c>
      <c r="GM29">
        <v>0.3253012048192771</v>
      </c>
      <c r="GN29">
        <v>0</v>
      </c>
      <c r="GO29">
        <v>27</v>
      </c>
      <c r="GP29">
        <v>0.14285714285714285</v>
      </c>
      <c r="GQ29">
        <v>9.6385542168674704E-2</v>
      </c>
      <c r="GR29">
        <v>2</v>
      </c>
      <c r="GS29">
        <v>8</v>
      </c>
      <c r="GT29">
        <v>5.0632911392405063E-2</v>
      </c>
      <c r="GU29">
        <v>4.9689440993788817E-2</v>
      </c>
      <c r="GV29">
        <v>4</v>
      </c>
      <c r="GW29">
        <v>32</v>
      </c>
      <c r="GX29">
        <v>7.5949367088607597E-2</v>
      </c>
      <c r="GY29">
        <v>8.2298136645962736E-2</v>
      </c>
      <c r="GZ29">
        <v>6</v>
      </c>
      <c r="HA29">
        <v>53</v>
      </c>
      <c r="HB29">
        <v>0</v>
      </c>
      <c r="HC29">
        <v>1.5527950310559005E-3</v>
      </c>
      <c r="HD29">
        <v>0</v>
      </c>
      <c r="HE29">
        <v>1</v>
      </c>
      <c r="HF29">
        <v>0</v>
      </c>
      <c r="HG29">
        <v>0</v>
      </c>
      <c r="HH29">
        <v>0</v>
      </c>
      <c r="HI29">
        <v>0</v>
      </c>
      <c r="HJ29">
        <v>0</v>
      </c>
      <c r="HK29">
        <v>0</v>
      </c>
      <c r="HL29">
        <v>0</v>
      </c>
      <c r="HM29">
        <v>0</v>
      </c>
      <c r="HN29">
        <v>2.5316455696202531E-2</v>
      </c>
      <c r="HO29">
        <v>0</v>
      </c>
      <c r="HP29">
        <v>2</v>
      </c>
      <c r="HQ29">
        <v>0</v>
      </c>
      <c r="HR29">
        <v>0.759493670886076</v>
      </c>
      <c r="HS29">
        <v>0.72981366459627328</v>
      </c>
      <c r="HT29">
        <v>60</v>
      </c>
      <c r="HU29">
        <v>470</v>
      </c>
      <c r="HV29">
        <v>0.11392405063291139</v>
      </c>
      <c r="HW29">
        <v>0.13664596273291926</v>
      </c>
      <c r="HX29">
        <v>9</v>
      </c>
      <c r="HY29">
        <v>88</v>
      </c>
      <c r="HZ29">
        <v>0.31034482758620691</v>
      </c>
      <c r="IA29">
        <v>0.32773109243697479</v>
      </c>
      <c r="IB29">
        <v>9</v>
      </c>
      <c r="IC29">
        <v>78</v>
      </c>
      <c r="ID29">
        <v>0.17241379310344829</v>
      </c>
      <c r="IE29">
        <v>0.32773109243697479</v>
      </c>
      <c r="IF29">
        <v>5</v>
      </c>
      <c r="IG29">
        <v>78</v>
      </c>
      <c r="IH29">
        <v>3.4482758620689655E-2</v>
      </c>
      <c r="II29">
        <v>7.9831932773109238E-2</v>
      </c>
      <c r="IJ29">
        <v>1</v>
      </c>
      <c r="IK29">
        <v>19</v>
      </c>
      <c r="IL29">
        <v>0</v>
      </c>
      <c r="IM29">
        <v>2.5210084033613446E-2</v>
      </c>
      <c r="IN29">
        <v>0</v>
      </c>
      <c r="IO29">
        <v>6</v>
      </c>
      <c r="IP29">
        <v>0.48275862068965519</v>
      </c>
      <c r="IQ29">
        <v>0.23949579831932774</v>
      </c>
      <c r="IR29">
        <v>14</v>
      </c>
      <c r="IS29">
        <v>57</v>
      </c>
      <c r="IT29">
        <v>82.5</v>
      </c>
      <c r="IU29">
        <v>77.970059880239518</v>
      </c>
      <c r="IV29">
        <v>0.40909090909090912</v>
      </c>
      <c r="IW29">
        <v>0.3652694610778443</v>
      </c>
      <c r="IX29">
        <v>9</v>
      </c>
      <c r="IY29">
        <v>61</v>
      </c>
      <c r="IZ29">
        <v>0.13636363636363635</v>
      </c>
      <c r="JA29">
        <v>0.33532934131736525</v>
      </c>
      <c r="JB29">
        <v>3</v>
      </c>
      <c r="JC29">
        <v>56</v>
      </c>
      <c r="JD29">
        <v>0</v>
      </c>
      <c r="JE29">
        <v>4.790419161676647E-2</v>
      </c>
      <c r="JF29">
        <v>0</v>
      </c>
      <c r="JG29">
        <v>8</v>
      </c>
      <c r="JH29">
        <v>0</v>
      </c>
      <c r="JI29">
        <v>2.9940119760479042E-2</v>
      </c>
      <c r="JJ29">
        <v>0</v>
      </c>
      <c r="JK29">
        <v>5</v>
      </c>
      <c r="JL29">
        <v>0.45454545454545453</v>
      </c>
      <c r="JM29">
        <v>0.22155688622754491</v>
      </c>
      <c r="JN29">
        <v>10</v>
      </c>
      <c r="JO29">
        <v>37</v>
      </c>
      <c r="JP29">
        <v>0</v>
      </c>
      <c r="JQ29">
        <v>2.2727272727272728E-2</v>
      </c>
      <c r="JR29">
        <v>0</v>
      </c>
      <c r="JS29">
        <v>1</v>
      </c>
      <c r="JT29">
        <v>0.8</v>
      </c>
      <c r="JU29">
        <v>0.75</v>
      </c>
      <c r="JV29">
        <v>4</v>
      </c>
      <c r="JW29">
        <v>33</v>
      </c>
      <c r="JX29">
        <v>0</v>
      </c>
      <c r="JY29">
        <v>4.5454545454545456E-2</v>
      </c>
      <c r="JZ29">
        <v>0</v>
      </c>
      <c r="KA29">
        <v>2</v>
      </c>
      <c r="KB29">
        <v>0</v>
      </c>
      <c r="KC29">
        <v>0</v>
      </c>
      <c r="KD29">
        <v>0</v>
      </c>
      <c r="KE29">
        <v>0</v>
      </c>
      <c r="KF29">
        <v>0.19999999999999996</v>
      </c>
      <c r="KG29">
        <v>0.18181818181818188</v>
      </c>
      <c r="KH29">
        <v>1</v>
      </c>
      <c r="KI29">
        <v>8</v>
      </c>
      <c r="KJ29">
        <v>0</v>
      </c>
      <c r="KK29">
        <v>4.5454545454545456E-2</v>
      </c>
      <c r="KL29">
        <v>0</v>
      </c>
      <c r="KM29">
        <v>2</v>
      </c>
      <c r="KN29">
        <v>0.4</v>
      </c>
      <c r="KO29">
        <v>0.13636363636363635</v>
      </c>
      <c r="KP29">
        <v>2</v>
      </c>
      <c r="KQ29">
        <v>6</v>
      </c>
      <c r="KR29">
        <v>0</v>
      </c>
      <c r="KS29">
        <v>9.0909090909090912E-2</v>
      </c>
      <c r="KT29">
        <v>0</v>
      </c>
      <c r="KU29">
        <v>4</v>
      </c>
      <c r="KV29">
        <v>0.4</v>
      </c>
      <c r="KW29">
        <v>9.0909090909090912E-2</v>
      </c>
      <c r="KX29">
        <v>2</v>
      </c>
      <c r="KY29">
        <v>4</v>
      </c>
      <c r="KZ29">
        <v>0.19999999999999996</v>
      </c>
      <c r="LA29">
        <v>0.63636363636363635</v>
      </c>
      <c r="LB29">
        <v>1</v>
      </c>
      <c r="LC29">
        <v>28</v>
      </c>
      <c r="LD29">
        <v>0.45569620253164556</v>
      </c>
      <c r="LE29">
        <v>0.35443037974683544</v>
      </c>
      <c r="LF29">
        <v>5.0632911392405063E-2</v>
      </c>
      <c r="LG29">
        <v>5.0632911392405056E-2</v>
      </c>
      <c r="LH29">
        <v>0.53881987577639756</v>
      </c>
      <c r="LI29">
        <v>0.44720496894409939</v>
      </c>
      <c r="LJ29">
        <v>2.0186335403726708E-2</v>
      </c>
      <c r="LK29">
        <v>7.1428571428571452E-2</v>
      </c>
    </row>
    <row r="30" spans="1:323" x14ac:dyDescent="0.25">
      <c r="A30" t="s">
        <v>15</v>
      </c>
      <c r="B30" t="s">
        <v>96</v>
      </c>
      <c r="C30" t="s">
        <v>180</v>
      </c>
      <c r="D30">
        <v>0</v>
      </c>
      <c r="E30">
        <v>6.1728395061728392E-2</v>
      </c>
      <c r="F30">
        <v>0.2139917695473251</v>
      </c>
      <c r="G30">
        <v>0.3991769547325103</v>
      </c>
      <c r="H30">
        <v>0.32510288065843623</v>
      </c>
      <c r="I30">
        <v>1.1579818031430935E-2</v>
      </c>
      <c r="J30">
        <v>6.1621174524400329E-2</v>
      </c>
      <c r="K30">
        <v>0.21464019851116625</v>
      </c>
      <c r="L30">
        <v>0.44582299421009097</v>
      </c>
      <c r="M30">
        <v>0.26633581472291151</v>
      </c>
      <c r="N30">
        <v>0.70781893004115226</v>
      </c>
      <c r="O30">
        <v>0.29218106995884774</v>
      </c>
      <c r="P30">
        <v>0.70471464019851116</v>
      </c>
      <c r="Q30">
        <v>0.29528535980148884</v>
      </c>
      <c r="R30">
        <v>243</v>
      </c>
      <c r="S30">
        <v>67.559670781893004</v>
      </c>
      <c r="T30">
        <v>32</v>
      </c>
      <c r="U30">
        <v>9.8847736625514404</v>
      </c>
      <c r="V30">
        <v>4.4691358024691361</v>
      </c>
      <c r="W30">
        <v>30.283950617283949</v>
      </c>
      <c r="X30">
        <v>2418</v>
      </c>
      <c r="Y30">
        <v>66.236559139784944</v>
      </c>
      <c r="Z30">
        <v>308</v>
      </c>
      <c r="AA30">
        <v>10.480562448304385</v>
      </c>
      <c r="AB30">
        <v>3.9582299421009099</v>
      </c>
      <c r="AC30">
        <v>32.586848635235732</v>
      </c>
      <c r="AD30">
        <v>0.73544973544973546</v>
      </c>
      <c r="AE30">
        <v>0.57145574435708846</v>
      </c>
      <c r="AF30">
        <v>973</v>
      </c>
      <c r="AG30">
        <v>9013</v>
      </c>
      <c r="AH30">
        <v>0.25245653817082386</v>
      </c>
      <c r="AI30">
        <v>0.40077352269845296</v>
      </c>
      <c r="AJ30">
        <v>334</v>
      </c>
      <c r="AK30">
        <v>6321</v>
      </c>
      <c r="AL30">
        <v>1.1337868480725623E-2</v>
      </c>
      <c r="AM30">
        <v>1.8133400963733198E-2</v>
      </c>
      <c r="AN30">
        <v>15</v>
      </c>
      <c r="AO30">
        <v>286</v>
      </c>
      <c r="AP30">
        <v>0</v>
      </c>
      <c r="AQ30">
        <v>7.101191985797616E-3</v>
      </c>
      <c r="AR30">
        <v>0</v>
      </c>
      <c r="AS30">
        <v>112</v>
      </c>
      <c r="AT30">
        <v>7.5585789871504159E-4</v>
      </c>
      <c r="AU30">
        <v>2.4093329951813342E-3</v>
      </c>
      <c r="AV30">
        <v>1</v>
      </c>
      <c r="AW30">
        <v>38</v>
      </c>
      <c r="AX30">
        <v>0</v>
      </c>
      <c r="AY30">
        <v>6.3403499873192998E-5</v>
      </c>
      <c r="AZ30">
        <v>0</v>
      </c>
      <c r="BA30">
        <v>1</v>
      </c>
      <c r="BB30">
        <v>0.32098765432098764</v>
      </c>
      <c r="BC30">
        <v>5.3868312757201648</v>
      </c>
      <c r="BD30">
        <v>6.584362139917696E-2</v>
      </c>
      <c r="BE30">
        <v>1.5802469135802468</v>
      </c>
      <c r="BF30">
        <v>0</v>
      </c>
      <c r="BG30">
        <v>0</v>
      </c>
      <c r="BH30">
        <v>0.33457402812241521</v>
      </c>
      <c r="BI30">
        <v>8.0897435897435894</v>
      </c>
      <c r="BJ30">
        <v>6.3275434243176179E-2</v>
      </c>
      <c r="BK30">
        <v>1.6683209263854426</v>
      </c>
      <c r="BL30">
        <v>6.2034739454094297E-3</v>
      </c>
      <c r="BM30">
        <v>0.13399503722084366</v>
      </c>
      <c r="BN30">
        <v>0.15101289134438306</v>
      </c>
      <c r="BO30">
        <v>0.20071047957371227</v>
      </c>
      <c r="BP30">
        <v>164</v>
      </c>
      <c r="BQ30">
        <v>1921</v>
      </c>
      <c r="BR30">
        <v>0.18784530386740331</v>
      </c>
      <c r="BS30">
        <v>0.19276982551457528</v>
      </c>
      <c r="BT30">
        <v>204</v>
      </c>
      <c r="BU30">
        <v>1845</v>
      </c>
      <c r="BV30">
        <v>4.0515653775322284E-2</v>
      </c>
      <c r="BW30">
        <v>6.0913175216800751E-2</v>
      </c>
      <c r="BX30">
        <v>44</v>
      </c>
      <c r="BY30">
        <v>583</v>
      </c>
      <c r="BZ30">
        <v>4.2357274401473299E-2</v>
      </c>
      <c r="CA30">
        <v>5.9136976282520112E-2</v>
      </c>
      <c r="CB30">
        <v>46</v>
      </c>
      <c r="CC30">
        <v>566</v>
      </c>
      <c r="CD30">
        <v>4.6961325966850827E-2</v>
      </c>
      <c r="CE30">
        <v>5.1718733674642151E-2</v>
      </c>
      <c r="CF30">
        <v>51</v>
      </c>
      <c r="CG30">
        <v>495</v>
      </c>
      <c r="CH30">
        <v>1.9337016574585635E-2</v>
      </c>
      <c r="CI30">
        <v>3.8658447393166859E-2</v>
      </c>
      <c r="CJ30">
        <v>21</v>
      </c>
      <c r="CK30">
        <v>370</v>
      </c>
      <c r="CL30">
        <v>0</v>
      </c>
      <c r="CM30">
        <v>0</v>
      </c>
      <c r="CN30">
        <v>0</v>
      </c>
      <c r="CO30">
        <v>0</v>
      </c>
      <c r="CP30">
        <v>0.1270718232044199</v>
      </c>
      <c r="CQ30">
        <v>3.0404346463274477E-2</v>
      </c>
      <c r="CR30">
        <v>138</v>
      </c>
      <c r="CS30">
        <v>291</v>
      </c>
      <c r="CT30">
        <v>4.7882136279926338E-2</v>
      </c>
      <c r="CU30">
        <v>5.3912861769929994E-2</v>
      </c>
      <c r="CV30">
        <v>52</v>
      </c>
      <c r="CW30">
        <v>516</v>
      </c>
      <c r="CX30">
        <v>0.31307550644567217</v>
      </c>
      <c r="CY30">
        <v>0.28534113467767214</v>
      </c>
      <c r="CZ30">
        <v>340</v>
      </c>
      <c r="DA30">
        <v>2731</v>
      </c>
      <c r="DB30">
        <v>2.3941068139963217E-2</v>
      </c>
      <c r="DC30">
        <v>2.6434019433705824E-2</v>
      </c>
      <c r="DD30">
        <v>26.000000000000053</v>
      </c>
      <c r="DE30">
        <v>304.54878048780552</v>
      </c>
      <c r="DF30">
        <v>0.11522633744855967</v>
      </c>
      <c r="DG30">
        <v>9.553349875930521E-2</v>
      </c>
      <c r="DH30">
        <v>28</v>
      </c>
      <c r="DI30">
        <v>231</v>
      </c>
      <c r="DJ30">
        <v>8.2304526748971193E-2</v>
      </c>
      <c r="DK30">
        <v>4.5078577336641855E-2</v>
      </c>
      <c r="DL30">
        <v>20</v>
      </c>
      <c r="DM30">
        <v>109</v>
      </c>
      <c r="DN30">
        <v>5.3497942386831275E-2</v>
      </c>
      <c r="DO30">
        <v>0.12324234904880066</v>
      </c>
      <c r="DP30">
        <v>13</v>
      </c>
      <c r="DQ30">
        <v>298</v>
      </c>
      <c r="DR30">
        <v>8.23045267489712E-3</v>
      </c>
      <c r="DS30">
        <v>3.2258064516129031E-2</v>
      </c>
      <c r="DT30">
        <v>2</v>
      </c>
      <c r="DU30">
        <v>78</v>
      </c>
      <c r="DV30">
        <v>6.584362139917696E-2</v>
      </c>
      <c r="DW30">
        <v>6.7411083540115796E-2</v>
      </c>
      <c r="DX30">
        <v>16</v>
      </c>
      <c r="DY30">
        <v>163</v>
      </c>
      <c r="DZ30">
        <v>7.8189300411522639E-2</v>
      </c>
      <c r="EA30">
        <v>9.3465674110835395E-2</v>
      </c>
      <c r="EB30">
        <v>19</v>
      </c>
      <c r="EC30">
        <v>226</v>
      </c>
      <c r="ED30">
        <v>0.53909465020576131</v>
      </c>
      <c r="EE30">
        <v>0.47435897435897434</v>
      </c>
      <c r="EF30">
        <v>131</v>
      </c>
      <c r="EG30">
        <v>1147</v>
      </c>
      <c r="EH30">
        <v>5.7613168724279906E-2</v>
      </c>
      <c r="EI30">
        <v>6.8651778329197666E-2</v>
      </c>
      <c r="EJ30">
        <v>14.000000000000016</v>
      </c>
      <c r="EK30">
        <v>165.99999999999994</v>
      </c>
      <c r="EL30">
        <v>4.11522633744856E-3</v>
      </c>
      <c r="EM30">
        <v>0.10297766749379653</v>
      </c>
      <c r="EN30">
        <v>1</v>
      </c>
      <c r="EO30">
        <v>249</v>
      </c>
      <c r="EP30">
        <v>4.11522633744856E-3</v>
      </c>
      <c r="EQ30">
        <v>7.6923076923076927E-2</v>
      </c>
      <c r="ER30">
        <v>1</v>
      </c>
      <c r="ES30">
        <v>186</v>
      </c>
      <c r="ET30">
        <v>0.11934156378600823</v>
      </c>
      <c r="EU30">
        <v>0.4813895781637717</v>
      </c>
      <c r="EV30">
        <v>29</v>
      </c>
      <c r="EW30">
        <v>1164</v>
      </c>
      <c r="EX30">
        <v>0</v>
      </c>
      <c r="EY30">
        <v>4.8800661703887513E-2</v>
      </c>
      <c r="EZ30">
        <v>0</v>
      </c>
      <c r="FA30">
        <v>118</v>
      </c>
      <c r="FB30">
        <v>0.79423868312757206</v>
      </c>
      <c r="FC30">
        <v>8.0231596360628613E-2</v>
      </c>
      <c r="FD30">
        <v>193</v>
      </c>
      <c r="FE30">
        <v>194</v>
      </c>
      <c r="FF30">
        <v>0</v>
      </c>
      <c r="FG30">
        <v>0.16046319272125723</v>
      </c>
      <c r="FH30">
        <v>0</v>
      </c>
      <c r="FI30">
        <v>388</v>
      </c>
      <c r="FJ30">
        <v>7.8189300411522639E-2</v>
      </c>
      <c r="FK30">
        <v>4.9214226633581472E-2</v>
      </c>
      <c r="FL30">
        <v>19</v>
      </c>
      <c r="FM30">
        <v>119</v>
      </c>
      <c r="FN30">
        <v>51</v>
      </c>
      <c r="FO30">
        <v>495</v>
      </c>
      <c r="FP30">
        <v>51</v>
      </c>
      <c r="FQ30">
        <v>495</v>
      </c>
      <c r="FR30">
        <v>0</v>
      </c>
      <c r="FS30">
        <v>8.4848484848484854E-2</v>
      </c>
      <c r="FT30">
        <v>0</v>
      </c>
      <c r="FU30">
        <v>42</v>
      </c>
      <c r="FV30">
        <v>0</v>
      </c>
      <c r="FW30">
        <v>0</v>
      </c>
      <c r="FX30">
        <v>0</v>
      </c>
      <c r="FY30">
        <v>0</v>
      </c>
      <c r="FZ30">
        <v>0.27450980392156865</v>
      </c>
      <c r="GA30">
        <v>0.44242424242424244</v>
      </c>
      <c r="GB30">
        <v>14</v>
      </c>
      <c r="GC30">
        <v>219</v>
      </c>
      <c r="GD30">
        <v>0</v>
      </c>
      <c r="GE30">
        <v>0</v>
      </c>
      <c r="GF30">
        <v>0</v>
      </c>
      <c r="GG30">
        <v>0</v>
      </c>
      <c r="GH30">
        <v>0.56862745098039214</v>
      </c>
      <c r="GI30">
        <v>5.8585858585858588E-2</v>
      </c>
      <c r="GJ30">
        <v>29</v>
      </c>
      <c r="GK30">
        <v>29</v>
      </c>
      <c r="GL30">
        <v>0</v>
      </c>
      <c r="GM30">
        <v>0.32323232323232326</v>
      </c>
      <c r="GN30">
        <v>0</v>
      </c>
      <c r="GO30">
        <v>160</v>
      </c>
      <c r="GP30">
        <v>0.15686274509803921</v>
      </c>
      <c r="GQ30">
        <v>9.0909090909090912E-2</v>
      </c>
      <c r="GR30">
        <v>8</v>
      </c>
      <c r="GS30">
        <v>45</v>
      </c>
      <c r="GT30">
        <v>4.9382716049382713E-2</v>
      </c>
      <c r="GU30">
        <v>4.425144747725393E-2</v>
      </c>
      <c r="GV30">
        <v>12</v>
      </c>
      <c r="GW30">
        <v>107</v>
      </c>
      <c r="GX30">
        <v>5.7613168724279837E-2</v>
      </c>
      <c r="GY30">
        <v>7.3614557485525228E-2</v>
      </c>
      <c r="GZ30">
        <v>14</v>
      </c>
      <c r="HA30">
        <v>178</v>
      </c>
      <c r="HB30">
        <v>0</v>
      </c>
      <c r="HC30">
        <v>8.271298593879239E-4</v>
      </c>
      <c r="HD30">
        <v>0</v>
      </c>
      <c r="HE30">
        <v>2</v>
      </c>
      <c r="HF30">
        <v>0</v>
      </c>
      <c r="HG30">
        <v>4.1356492969396195E-4</v>
      </c>
      <c r="HH30">
        <v>0</v>
      </c>
      <c r="HI30">
        <v>1</v>
      </c>
      <c r="HJ30">
        <v>0</v>
      </c>
      <c r="HK30">
        <v>4.1356492969396195E-4</v>
      </c>
      <c r="HL30">
        <v>0</v>
      </c>
      <c r="HM30">
        <v>1</v>
      </c>
      <c r="HN30">
        <v>8.23045267489712E-3</v>
      </c>
      <c r="HO30">
        <v>2.0678246484698098E-3</v>
      </c>
      <c r="HP30">
        <v>2</v>
      </c>
      <c r="HQ30">
        <v>5</v>
      </c>
      <c r="HR30">
        <v>0.81893004115226342</v>
      </c>
      <c r="HS30">
        <v>0.80024813895781632</v>
      </c>
      <c r="HT30">
        <v>199</v>
      </c>
      <c r="HU30">
        <v>1935</v>
      </c>
      <c r="HV30">
        <v>7.407407407407407E-2</v>
      </c>
      <c r="HW30">
        <v>8.0231596360628613E-2</v>
      </c>
      <c r="HX30">
        <v>18</v>
      </c>
      <c r="HY30">
        <v>194</v>
      </c>
      <c r="HZ30">
        <v>0.46835443037974683</v>
      </c>
      <c r="IA30">
        <v>0.44483985765124556</v>
      </c>
      <c r="IB30">
        <v>37</v>
      </c>
      <c r="IC30">
        <v>375</v>
      </c>
      <c r="ID30">
        <v>0.13924050632911392</v>
      </c>
      <c r="IE30">
        <v>0.21233689205219455</v>
      </c>
      <c r="IF30">
        <v>11</v>
      </c>
      <c r="IG30">
        <v>179</v>
      </c>
      <c r="IH30">
        <v>5.0632911392405063E-2</v>
      </c>
      <c r="II30">
        <v>6.1684460260972719E-2</v>
      </c>
      <c r="IJ30">
        <v>4</v>
      </c>
      <c r="IK30">
        <v>52</v>
      </c>
      <c r="IL30">
        <v>0</v>
      </c>
      <c r="IM30">
        <v>4.0332147093712932E-2</v>
      </c>
      <c r="IN30">
        <v>0</v>
      </c>
      <c r="IO30">
        <v>34</v>
      </c>
      <c r="IP30">
        <v>0.34177215189873417</v>
      </c>
      <c r="IQ30">
        <v>0.2431791221826809</v>
      </c>
      <c r="IR30">
        <v>27</v>
      </c>
      <c r="IS30">
        <v>205</v>
      </c>
      <c r="IT30">
        <v>94</v>
      </c>
      <c r="IU30">
        <v>74.587521663778162</v>
      </c>
      <c r="IV30">
        <v>0.54716981132075471</v>
      </c>
      <c r="IW30">
        <v>0.515625</v>
      </c>
      <c r="IX30">
        <v>29</v>
      </c>
      <c r="IY30">
        <v>297</v>
      </c>
      <c r="IZ30">
        <v>0.11320754716981132</v>
      </c>
      <c r="JA30">
        <v>0.19444444444444445</v>
      </c>
      <c r="JB30">
        <v>6</v>
      </c>
      <c r="JC30">
        <v>112</v>
      </c>
      <c r="JD30">
        <v>5.6603773584905662E-2</v>
      </c>
      <c r="JE30">
        <v>5.9027777777777776E-2</v>
      </c>
      <c r="JF30">
        <v>3</v>
      </c>
      <c r="JG30">
        <v>34</v>
      </c>
      <c r="JH30">
        <v>0</v>
      </c>
      <c r="JI30">
        <v>3.125E-2</v>
      </c>
      <c r="JJ30">
        <v>0</v>
      </c>
      <c r="JK30">
        <v>18</v>
      </c>
      <c r="JL30">
        <v>0.28301886792452829</v>
      </c>
      <c r="JM30">
        <v>0.2013888888888889</v>
      </c>
      <c r="JN30">
        <v>15</v>
      </c>
      <c r="JO30">
        <v>116</v>
      </c>
      <c r="JP30">
        <v>0.1875</v>
      </c>
      <c r="JQ30">
        <v>7.1895424836601302E-2</v>
      </c>
      <c r="JR30">
        <v>3</v>
      </c>
      <c r="JS30">
        <v>11</v>
      </c>
      <c r="JT30">
        <v>0.625</v>
      </c>
      <c r="JU30">
        <v>0.69281045751633985</v>
      </c>
      <c r="JV30">
        <v>10</v>
      </c>
      <c r="JW30">
        <v>106</v>
      </c>
      <c r="JX30">
        <v>0</v>
      </c>
      <c r="JY30">
        <v>7.1895424836601302E-2</v>
      </c>
      <c r="JZ30">
        <v>0</v>
      </c>
      <c r="KA30">
        <v>11</v>
      </c>
      <c r="KB30">
        <v>0</v>
      </c>
      <c r="KC30">
        <v>3.9215686274509803E-2</v>
      </c>
      <c r="KD30">
        <v>0</v>
      </c>
      <c r="KE30">
        <v>6</v>
      </c>
      <c r="KF30">
        <v>0.1875</v>
      </c>
      <c r="KG30">
        <v>0.12418300653594783</v>
      </c>
      <c r="KH30">
        <v>3</v>
      </c>
      <c r="KI30">
        <v>19</v>
      </c>
      <c r="KJ30">
        <v>6.25E-2</v>
      </c>
      <c r="KK30">
        <v>0.15584415584415584</v>
      </c>
      <c r="KL30">
        <v>1</v>
      </c>
      <c r="KM30">
        <v>24</v>
      </c>
      <c r="KN30">
        <v>0.25</v>
      </c>
      <c r="KO30">
        <v>0.14935064935064934</v>
      </c>
      <c r="KP30">
        <v>4</v>
      </c>
      <c r="KQ30">
        <v>23</v>
      </c>
      <c r="KR30">
        <v>0.125</v>
      </c>
      <c r="KS30">
        <v>0.14285714285714285</v>
      </c>
      <c r="KT30">
        <v>2</v>
      </c>
      <c r="KU30">
        <v>22</v>
      </c>
      <c r="KV30">
        <v>0.25</v>
      </c>
      <c r="KW30">
        <v>8.4415584415584416E-2</v>
      </c>
      <c r="KX30">
        <v>4</v>
      </c>
      <c r="KY30">
        <v>13</v>
      </c>
      <c r="KZ30">
        <v>0.3125</v>
      </c>
      <c r="LA30">
        <v>0.46753246753246758</v>
      </c>
      <c r="LB30">
        <v>5</v>
      </c>
      <c r="LC30">
        <v>72</v>
      </c>
      <c r="LD30">
        <v>0.46502057613168724</v>
      </c>
      <c r="LE30">
        <v>0.41563786008230452</v>
      </c>
      <c r="LF30">
        <v>2.4691358024691357E-2</v>
      </c>
      <c r="LG30">
        <v>2.4691358024691357E-2</v>
      </c>
      <c r="LH30">
        <v>0.44334160463192723</v>
      </c>
      <c r="LI30">
        <v>0.38792390405293631</v>
      </c>
      <c r="LJ30">
        <v>1.282051282051282E-2</v>
      </c>
      <c r="LK30">
        <v>4.2597187758478094E-2</v>
      </c>
    </row>
    <row r="31" spans="1:323" x14ac:dyDescent="0.25">
      <c r="A31" t="s">
        <v>16</v>
      </c>
      <c r="B31" t="s">
        <v>55</v>
      </c>
      <c r="C31" t="s">
        <v>181</v>
      </c>
      <c r="D31">
        <v>8.2644628099173556E-3</v>
      </c>
      <c r="E31">
        <v>4.1322314049586778E-2</v>
      </c>
      <c r="F31">
        <v>0.21487603305785125</v>
      </c>
      <c r="G31">
        <v>0.40909090909090912</v>
      </c>
      <c r="H31">
        <v>0.32644628099173556</v>
      </c>
      <c r="I31">
        <v>1.1579818031430935E-2</v>
      </c>
      <c r="J31">
        <v>6.1621174524400329E-2</v>
      </c>
      <c r="K31">
        <v>0.21464019851116625</v>
      </c>
      <c r="L31">
        <v>0.44582299421009097</v>
      </c>
      <c r="M31">
        <v>0.26633581472291151</v>
      </c>
      <c r="N31">
        <v>1</v>
      </c>
      <c r="O31">
        <v>0</v>
      </c>
      <c r="P31">
        <v>0.6428571428571429</v>
      </c>
      <c r="Q31">
        <v>0.3571428571428571</v>
      </c>
      <c r="R31">
        <v>2</v>
      </c>
      <c r="S31">
        <v>34</v>
      </c>
      <c r="T31">
        <v>0</v>
      </c>
      <c r="U31">
        <v>2.5</v>
      </c>
      <c r="V31">
        <v>2.5</v>
      </c>
      <c r="W31">
        <v>19.5</v>
      </c>
      <c r="X31">
        <v>28</v>
      </c>
      <c r="Y31">
        <v>32.285714285714285</v>
      </c>
      <c r="Z31">
        <v>2</v>
      </c>
      <c r="AA31">
        <v>8.6428571428571423</v>
      </c>
      <c r="AB31">
        <v>3.8571428571428572</v>
      </c>
      <c r="AC31">
        <v>30.25</v>
      </c>
      <c r="AD31" s="116" t="s">
        <v>187</v>
      </c>
      <c r="AE31">
        <v>0.41269841269841268</v>
      </c>
      <c r="AF31">
        <v>0</v>
      </c>
      <c r="AG31">
        <v>52</v>
      </c>
      <c r="AH31" s="116" t="s">
        <v>187</v>
      </c>
      <c r="AI31">
        <v>0.56349206349206349</v>
      </c>
      <c r="AJ31">
        <v>0</v>
      </c>
      <c r="AK31">
        <v>71</v>
      </c>
      <c r="AL31" s="116" t="s">
        <v>187</v>
      </c>
      <c r="AM31">
        <v>2.3809523809523808E-2</v>
      </c>
      <c r="AN31">
        <v>0</v>
      </c>
      <c r="AO31">
        <v>3</v>
      </c>
      <c r="AP31" s="116" t="s">
        <v>187</v>
      </c>
      <c r="AQ31">
        <v>0</v>
      </c>
      <c r="AR31">
        <v>0</v>
      </c>
      <c r="AS31">
        <v>0</v>
      </c>
      <c r="AT31" s="116" t="s">
        <v>187</v>
      </c>
      <c r="AU31">
        <v>0</v>
      </c>
      <c r="AV31">
        <v>0</v>
      </c>
      <c r="AW31">
        <v>0</v>
      </c>
      <c r="AX31" s="116" t="s">
        <v>187</v>
      </c>
      <c r="AY31">
        <v>0</v>
      </c>
      <c r="AZ31">
        <v>0</v>
      </c>
      <c r="BA31">
        <v>0</v>
      </c>
      <c r="BB31">
        <v>0.5</v>
      </c>
      <c r="BC31">
        <v>1</v>
      </c>
      <c r="BD31">
        <v>0</v>
      </c>
      <c r="BE31">
        <v>0</v>
      </c>
      <c r="BF31">
        <v>0</v>
      </c>
      <c r="BG31" s="116" t="s">
        <v>187</v>
      </c>
      <c r="BH31">
        <v>0.35714285714285715</v>
      </c>
      <c r="BI31">
        <v>7.75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0.19444444444444445</v>
      </c>
      <c r="BP31">
        <v>0</v>
      </c>
      <c r="BQ31">
        <v>21</v>
      </c>
      <c r="BR31">
        <v>0.2</v>
      </c>
      <c r="BS31">
        <v>0.20370370370370369</v>
      </c>
      <c r="BT31">
        <v>1</v>
      </c>
      <c r="BU31">
        <v>22</v>
      </c>
      <c r="BV31">
        <v>0</v>
      </c>
      <c r="BW31">
        <v>3.7037037037037035E-2</v>
      </c>
      <c r="BX31">
        <v>0</v>
      </c>
      <c r="BY31">
        <v>4</v>
      </c>
      <c r="BZ31">
        <v>0</v>
      </c>
      <c r="CA31">
        <v>1.8518518518518517E-2</v>
      </c>
      <c r="CB31">
        <v>0</v>
      </c>
      <c r="CC31">
        <v>2</v>
      </c>
      <c r="CD31">
        <v>0.4</v>
      </c>
      <c r="CE31">
        <v>0.12037037037037036</v>
      </c>
      <c r="CF31">
        <v>2</v>
      </c>
      <c r="CG31">
        <v>13</v>
      </c>
      <c r="CH31">
        <v>0</v>
      </c>
      <c r="CI31">
        <v>6.4814814814814811E-2</v>
      </c>
      <c r="CJ31">
        <v>0</v>
      </c>
      <c r="CK31">
        <v>7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9.2592592592592587E-3</v>
      </c>
      <c r="CR31">
        <v>0</v>
      </c>
      <c r="CS31">
        <v>1</v>
      </c>
      <c r="CT31">
        <v>0.2</v>
      </c>
      <c r="CU31">
        <v>5.5555555555555552E-2</v>
      </c>
      <c r="CV31">
        <v>1</v>
      </c>
      <c r="CW31">
        <v>6</v>
      </c>
      <c r="CX31">
        <v>0</v>
      </c>
      <c r="CY31">
        <v>0.27777777777777779</v>
      </c>
      <c r="CZ31">
        <v>0</v>
      </c>
      <c r="DA31">
        <v>30</v>
      </c>
      <c r="DB31">
        <v>0.19999999999999996</v>
      </c>
      <c r="DC31">
        <v>1.851851851851849E-2</v>
      </c>
      <c r="DD31" s="116" t="s">
        <v>187</v>
      </c>
      <c r="DE31" s="116" t="s">
        <v>187</v>
      </c>
      <c r="DF31">
        <v>0.5</v>
      </c>
      <c r="DG31">
        <v>0.14285714285714285</v>
      </c>
      <c r="DH31">
        <v>1</v>
      </c>
      <c r="DI31">
        <v>4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0.17857142857142858</v>
      </c>
      <c r="DP31">
        <v>0</v>
      </c>
      <c r="DQ31">
        <v>5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0.10714285714285714</v>
      </c>
      <c r="DX31">
        <v>0</v>
      </c>
      <c r="DY31">
        <v>3</v>
      </c>
      <c r="DZ31">
        <v>0</v>
      </c>
      <c r="EA31">
        <v>0.14285714285714285</v>
      </c>
      <c r="EB31">
        <v>0</v>
      </c>
      <c r="EC31">
        <v>4</v>
      </c>
      <c r="ED31">
        <v>0.5</v>
      </c>
      <c r="EE31">
        <v>0.35714285714285715</v>
      </c>
      <c r="EF31">
        <v>1</v>
      </c>
      <c r="EG31">
        <v>10</v>
      </c>
      <c r="EH31">
        <v>0</v>
      </c>
      <c r="EI31">
        <v>7.1428571428571397E-2</v>
      </c>
      <c r="EJ31">
        <v>0</v>
      </c>
      <c r="EK31">
        <v>1.9999999999999991</v>
      </c>
      <c r="EL31">
        <v>0</v>
      </c>
      <c r="EM31">
        <v>0.17857142857142858</v>
      </c>
      <c r="EN31">
        <v>0</v>
      </c>
      <c r="EO31">
        <v>5</v>
      </c>
      <c r="EP31">
        <v>0</v>
      </c>
      <c r="EQ31">
        <v>7.1428571428571425E-2</v>
      </c>
      <c r="ER31">
        <v>0</v>
      </c>
      <c r="ES31">
        <v>2</v>
      </c>
      <c r="ET31">
        <v>0</v>
      </c>
      <c r="EU31">
        <v>0.5714285714285714</v>
      </c>
      <c r="EV31">
        <v>0</v>
      </c>
      <c r="EW31">
        <v>16</v>
      </c>
      <c r="EX31">
        <v>0.5</v>
      </c>
      <c r="EY31">
        <v>7.1428571428571425E-2</v>
      </c>
      <c r="EZ31">
        <v>1</v>
      </c>
      <c r="FA31">
        <v>2</v>
      </c>
      <c r="FB31">
        <v>0</v>
      </c>
      <c r="FC31">
        <v>0</v>
      </c>
      <c r="FD31">
        <v>0</v>
      </c>
      <c r="FE31">
        <v>0</v>
      </c>
      <c r="FF31">
        <v>0.5</v>
      </c>
      <c r="FG31">
        <v>0.10714285714285714</v>
      </c>
      <c r="FH31">
        <v>1</v>
      </c>
      <c r="FI31">
        <v>3</v>
      </c>
      <c r="FJ31">
        <v>0</v>
      </c>
      <c r="FK31">
        <v>0</v>
      </c>
      <c r="FL31">
        <v>0</v>
      </c>
      <c r="FM31">
        <v>0</v>
      </c>
      <c r="FN31">
        <v>2</v>
      </c>
      <c r="FO31">
        <v>13</v>
      </c>
      <c r="FP31">
        <v>2</v>
      </c>
      <c r="FQ31">
        <v>13</v>
      </c>
      <c r="FR31">
        <v>0</v>
      </c>
      <c r="FS31">
        <v>0.23076923076923078</v>
      </c>
      <c r="FT31">
        <v>0</v>
      </c>
      <c r="FU31">
        <v>3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0.30769230769230771</v>
      </c>
      <c r="GB31">
        <v>0</v>
      </c>
      <c r="GC31">
        <v>4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1</v>
      </c>
      <c r="GM31">
        <v>0.38461538461538464</v>
      </c>
      <c r="GN31">
        <v>2</v>
      </c>
      <c r="GO31">
        <v>5</v>
      </c>
      <c r="GP31">
        <v>0</v>
      </c>
      <c r="GQ31">
        <v>7.6923076923076927E-2</v>
      </c>
      <c r="GR31">
        <v>0</v>
      </c>
      <c r="GS31">
        <v>1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7.1428571428571425E-2</v>
      </c>
      <c r="GZ31">
        <v>0</v>
      </c>
      <c r="HA31">
        <v>2</v>
      </c>
      <c r="HB31">
        <v>0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0</v>
      </c>
      <c r="HJ31">
        <v>0</v>
      </c>
      <c r="HK31">
        <v>0</v>
      </c>
      <c r="HL31">
        <v>0</v>
      </c>
      <c r="HM31">
        <v>0</v>
      </c>
      <c r="HN31">
        <v>0</v>
      </c>
      <c r="HO31">
        <v>0</v>
      </c>
      <c r="HP31">
        <v>0</v>
      </c>
      <c r="HQ31">
        <v>0</v>
      </c>
      <c r="HR31">
        <v>1</v>
      </c>
      <c r="HS31">
        <v>0.8928571428571429</v>
      </c>
      <c r="HT31">
        <v>2</v>
      </c>
      <c r="HU31">
        <v>25</v>
      </c>
      <c r="HV31">
        <v>0</v>
      </c>
      <c r="HW31">
        <v>3.5714285714285712E-2</v>
      </c>
      <c r="HX31">
        <v>0</v>
      </c>
      <c r="HY31">
        <v>1</v>
      </c>
      <c r="HZ31">
        <v>1</v>
      </c>
      <c r="IA31">
        <v>0.6</v>
      </c>
      <c r="IB31">
        <v>1</v>
      </c>
      <c r="IC31">
        <v>6</v>
      </c>
      <c r="ID31">
        <v>0</v>
      </c>
      <c r="IE31">
        <v>0.1</v>
      </c>
      <c r="IF31">
        <v>0</v>
      </c>
      <c r="IG31">
        <v>1</v>
      </c>
      <c r="IH31">
        <v>0</v>
      </c>
      <c r="II31">
        <v>0.1</v>
      </c>
      <c r="IJ31">
        <v>0</v>
      </c>
      <c r="IK31">
        <v>1</v>
      </c>
      <c r="IL31">
        <v>0</v>
      </c>
      <c r="IM31">
        <v>0</v>
      </c>
      <c r="IN31">
        <v>0</v>
      </c>
      <c r="IO31">
        <v>0</v>
      </c>
      <c r="IP31">
        <v>0</v>
      </c>
      <c r="IQ31">
        <v>0.2</v>
      </c>
      <c r="IR31">
        <v>0</v>
      </c>
      <c r="IS31">
        <v>2</v>
      </c>
      <c r="IT31">
        <v>8</v>
      </c>
      <c r="IU31">
        <v>69.75</v>
      </c>
      <c r="IV31">
        <v>1</v>
      </c>
      <c r="IW31">
        <v>0.625</v>
      </c>
      <c r="IX31">
        <v>1</v>
      </c>
      <c r="IY31">
        <v>5</v>
      </c>
      <c r="IZ31">
        <v>0</v>
      </c>
      <c r="JA31">
        <v>0.125</v>
      </c>
      <c r="JB31">
        <v>0</v>
      </c>
      <c r="JC31">
        <v>1</v>
      </c>
      <c r="JD31">
        <v>0</v>
      </c>
      <c r="JE31">
        <v>0.125</v>
      </c>
      <c r="JF31">
        <v>0</v>
      </c>
      <c r="JG31">
        <v>1</v>
      </c>
      <c r="JH31">
        <v>0</v>
      </c>
      <c r="JI31">
        <v>0</v>
      </c>
      <c r="JJ31">
        <v>0</v>
      </c>
      <c r="JK31">
        <v>0</v>
      </c>
      <c r="JL31">
        <v>0</v>
      </c>
      <c r="JM31">
        <v>0.125</v>
      </c>
      <c r="JN31">
        <v>0</v>
      </c>
      <c r="JO31">
        <v>1</v>
      </c>
      <c r="JP31" s="116" t="s">
        <v>187</v>
      </c>
      <c r="JQ31" s="116" t="s">
        <v>187</v>
      </c>
      <c r="JR31">
        <v>0</v>
      </c>
      <c r="JS31">
        <v>0</v>
      </c>
      <c r="JT31" s="116" t="s">
        <v>187</v>
      </c>
      <c r="JU31" s="116" t="s">
        <v>187</v>
      </c>
      <c r="JV31">
        <v>0</v>
      </c>
      <c r="JW31">
        <v>0</v>
      </c>
      <c r="JX31" s="116" t="s">
        <v>187</v>
      </c>
      <c r="JY31" s="116" t="s">
        <v>187</v>
      </c>
      <c r="JZ31">
        <v>0</v>
      </c>
      <c r="KA31">
        <v>0</v>
      </c>
      <c r="KB31" s="116" t="s">
        <v>187</v>
      </c>
      <c r="KC31" s="116" t="s">
        <v>187</v>
      </c>
      <c r="KD31">
        <v>0</v>
      </c>
      <c r="KE31">
        <v>0</v>
      </c>
      <c r="KF31" s="116" t="s">
        <v>187</v>
      </c>
      <c r="KG31" s="116" t="s">
        <v>187</v>
      </c>
      <c r="KH31">
        <v>0</v>
      </c>
      <c r="KI31">
        <v>0</v>
      </c>
      <c r="KJ31" s="116" t="s">
        <v>187</v>
      </c>
      <c r="KK31" s="116" t="s">
        <v>187</v>
      </c>
      <c r="KL31">
        <v>0</v>
      </c>
      <c r="KM31">
        <v>0</v>
      </c>
      <c r="KN31" s="116" t="s">
        <v>187</v>
      </c>
      <c r="KO31" s="116" t="s">
        <v>187</v>
      </c>
      <c r="KP31">
        <v>0</v>
      </c>
      <c r="KQ31">
        <v>0</v>
      </c>
      <c r="KR31" s="116" t="s">
        <v>187</v>
      </c>
      <c r="KS31" s="116" t="s">
        <v>187</v>
      </c>
      <c r="KT31">
        <v>0</v>
      </c>
      <c r="KU31">
        <v>0</v>
      </c>
      <c r="KV31" s="116" t="s">
        <v>187</v>
      </c>
      <c r="KW31" s="116" t="s">
        <v>187</v>
      </c>
      <c r="KX31">
        <v>0</v>
      </c>
      <c r="KY31">
        <v>0</v>
      </c>
      <c r="KZ31" s="116" t="s">
        <v>187</v>
      </c>
      <c r="LA31" s="116" t="s">
        <v>187</v>
      </c>
      <c r="LB31">
        <v>0</v>
      </c>
      <c r="LC31">
        <v>0</v>
      </c>
      <c r="LD31">
        <v>0.5</v>
      </c>
      <c r="LE31">
        <v>0.5</v>
      </c>
      <c r="LF31">
        <v>0</v>
      </c>
      <c r="LG31">
        <v>0</v>
      </c>
      <c r="LH31">
        <v>0.2857142857142857</v>
      </c>
      <c r="LI31">
        <v>0.21428571428571427</v>
      </c>
      <c r="LJ31">
        <v>0</v>
      </c>
      <c r="LK31">
        <v>7.1428571428571425E-2</v>
      </c>
    </row>
    <row r="32" spans="1:323" x14ac:dyDescent="0.25">
      <c r="A32" t="s">
        <v>16</v>
      </c>
      <c r="B32" t="s">
        <v>56</v>
      </c>
      <c r="C32" t="s">
        <v>182</v>
      </c>
      <c r="D32">
        <v>8.2644628099173556E-3</v>
      </c>
      <c r="E32">
        <v>4.1322314049586778E-2</v>
      </c>
      <c r="F32">
        <v>0.21487603305785125</v>
      </c>
      <c r="G32">
        <v>0.40909090909090912</v>
      </c>
      <c r="H32">
        <v>0.32644628099173556</v>
      </c>
      <c r="I32">
        <v>1.1579818031430935E-2</v>
      </c>
      <c r="J32">
        <v>6.1621174524400329E-2</v>
      </c>
      <c r="K32">
        <v>0.21464019851116625</v>
      </c>
      <c r="L32">
        <v>0.44582299421009097</v>
      </c>
      <c r="M32">
        <v>0.26633581472291151</v>
      </c>
      <c r="N32">
        <v>0.7</v>
      </c>
      <c r="O32">
        <v>0.30000000000000004</v>
      </c>
      <c r="P32">
        <v>0.57046979865771807</v>
      </c>
      <c r="Q32">
        <v>0.42953020134228193</v>
      </c>
      <c r="R32">
        <v>10</v>
      </c>
      <c r="S32">
        <v>45.8</v>
      </c>
      <c r="T32">
        <v>0</v>
      </c>
      <c r="U32">
        <v>12.7</v>
      </c>
      <c r="V32">
        <v>5.6</v>
      </c>
      <c r="W32">
        <v>24.4</v>
      </c>
      <c r="X32">
        <v>149</v>
      </c>
      <c r="Y32">
        <v>45.778523489932887</v>
      </c>
      <c r="Z32">
        <v>13</v>
      </c>
      <c r="AA32">
        <v>14.100671140939598</v>
      </c>
      <c r="AB32">
        <v>4.798657718120805</v>
      </c>
      <c r="AC32">
        <v>37.973154362416111</v>
      </c>
      <c r="AD32">
        <v>0.96078431372549022</v>
      </c>
      <c r="AE32">
        <v>0.44230769230769229</v>
      </c>
      <c r="AF32">
        <v>49</v>
      </c>
      <c r="AG32">
        <v>552</v>
      </c>
      <c r="AH32">
        <v>0</v>
      </c>
      <c r="AI32">
        <v>0.52804487179487181</v>
      </c>
      <c r="AJ32">
        <v>0</v>
      </c>
      <c r="AK32">
        <v>659</v>
      </c>
      <c r="AL32">
        <v>3.9215686274509803E-2</v>
      </c>
      <c r="AM32">
        <v>1.0416666666666666E-2</v>
      </c>
      <c r="AN32">
        <v>2</v>
      </c>
      <c r="AO32">
        <v>13</v>
      </c>
      <c r="AP32">
        <v>0</v>
      </c>
      <c r="AQ32">
        <v>1.282051282051282E-2</v>
      </c>
      <c r="AR32">
        <v>0</v>
      </c>
      <c r="AS32">
        <v>16</v>
      </c>
      <c r="AT32">
        <v>0</v>
      </c>
      <c r="AU32">
        <v>6.41025641025641E-3</v>
      </c>
      <c r="AV32">
        <v>0</v>
      </c>
      <c r="AW32">
        <v>8</v>
      </c>
      <c r="AX32">
        <v>0</v>
      </c>
      <c r="AY32">
        <v>0</v>
      </c>
      <c r="AZ32">
        <v>0</v>
      </c>
      <c r="BA32">
        <v>0</v>
      </c>
      <c r="BB32">
        <v>0.6</v>
      </c>
      <c r="BC32">
        <v>21.5</v>
      </c>
      <c r="BD32">
        <v>0.1</v>
      </c>
      <c r="BE32">
        <v>0.2</v>
      </c>
      <c r="BF32">
        <v>0</v>
      </c>
      <c r="BG32" s="116" t="s">
        <v>187</v>
      </c>
      <c r="BH32">
        <v>0.28859060402684567</v>
      </c>
      <c r="BI32">
        <v>6.0067114093959733</v>
      </c>
      <c r="BJ32">
        <v>5.3691275167785234E-2</v>
      </c>
      <c r="BK32">
        <v>0.70469798657718119</v>
      </c>
      <c r="BL32">
        <v>2.6845637583892617E-2</v>
      </c>
      <c r="BM32">
        <v>0.66442953020134232</v>
      </c>
      <c r="BN32">
        <v>0.39285714285714285</v>
      </c>
      <c r="BO32">
        <v>0.27272727272727271</v>
      </c>
      <c r="BP32">
        <v>22</v>
      </c>
      <c r="BQ32">
        <v>195</v>
      </c>
      <c r="BR32">
        <v>0.14285714285714285</v>
      </c>
      <c r="BS32">
        <v>0.14265734265734265</v>
      </c>
      <c r="BT32">
        <v>8</v>
      </c>
      <c r="BU32">
        <v>102</v>
      </c>
      <c r="BV32">
        <v>3.5714285714285712E-2</v>
      </c>
      <c r="BW32">
        <v>6.7132867132867133E-2</v>
      </c>
      <c r="BX32">
        <v>2</v>
      </c>
      <c r="BY32">
        <v>48</v>
      </c>
      <c r="BZ32">
        <v>7.1428571428571425E-2</v>
      </c>
      <c r="CA32">
        <v>7.2727272727272724E-2</v>
      </c>
      <c r="CB32">
        <v>4</v>
      </c>
      <c r="CC32">
        <v>52</v>
      </c>
      <c r="CD32">
        <v>3.5714285714285712E-2</v>
      </c>
      <c r="CE32">
        <v>5.1748251748251747E-2</v>
      </c>
      <c r="CF32">
        <v>2</v>
      </c>
      <c r="CG32">
        <v>37</v>
      </c>
      <c r="CH32">
        <v>1.7857142857142856E-2</v>
      </c>
      <c r="CI32">
        <v>3.6363636363636362E-2</v>
      </c>
      <c r="CJ32">
        <v>1</v>
      </c>
      <c r="CK32">
        <v>26</v>
      </c>
      <c r="CL32">
        <v>0</v>
      </c>
      <c r="CM32">
        <v>0</v>
      </c>
      <c r="CN32">
        <v>0</v>
      </c>
      <c r="CO32">
        <v>0</v>
      </c>
      <c r="CP32">
        <v>1.7857142857142856E-2</v>
      </c>
      <c r="CQ32">
        <v>3.9160839160839164E-2</v>
      </c>
      <c r="CR32">
        <v>1</v>
      </c>
      <c r="CS32">
        <v>28</v>
      </c>
      <c r="CT32">
        <v>5.3571428571428568E-2</v>
      </c>
      <c r="CU32">
        <v>4.8951048951048952E-2</v>
      </c>
      <c r="CV32">
        <v>3</v>
      </c>
      <c r="CW32">
        <v>35</v>
      </c>
      <c r="CX32">
        <v>0.23214285714285715</v>
      </c>
      <c r="CY32">
        <v>0.24615384615384617</v>
      </c>
      <c r="CZ32">
        <v>13</v>
      </c>
      <c r="DA32">
        <v>176</v>
      </c>
      <c r="DB32">
        <v>0</v>
      </c>
      <c r="DC32">
        <v>2.2377622377622419E-2</v>
      </c>
      <c r="DD32">
        <v>0</v>
      </c>
      <c r="DE32">
        <v>0</v>
      </c>
      <c r="DF32">
        <v>0.1</v>
      </c>
      <c r="DG32">
        <v>0.13422818791946309</v>
      </c>
      <c r="DH32">
        <v>1</v>
      </c>
      <c r="DI32">
        <v>20</v>
      </c>
      <c r="DJ32">
        <v>0</v>
      </c>
      <c r="DK32">
        <v>7.3825503355704702E-2</v>
      </c>
      <c r="DL32">
        <v>0</v>
      </c>
      <c r="DM32">
        <v>11</v>
      </c>
      <c r="DN32">
        <v>0.1</v>
      </c>
      <c r="DO32">
        <v>0.12080536912751678</v>
      </c>
      <c r="DP32">
        <v>1</v>
      </c>
      <c r="DQ32">
        <v>18</v>
      </c>
      <c r="DR32">
        <v>0</v>
      </c>
      <c r="DS32">
        <v>6.7114093959731542E-3</v>
      </c>
      <c r="DT32">
        <v>0</v>
      </c>
      <c r="DU32">
        <v>1</v>
      </c>
      <c r="DV32">
        <v>0.2</v>
      </c>
      <c r="DW32">
        <v>0.13422818791946309</v>
      </c>
      <c r="DX32">
        <v>2</v>
      </c>
      <c r="DY32">
        <v>20</v>
      </c>
      <c r="DZ32">
        <v>0</v>
      </c>
      <c r="EA32">
        <v>8.7248322147651006E-2</v>
      </c>
      <c r="EB32">
        <v>0</v>
      </c>
      <c r="EC32">
        <v>13</v>
      </c>
      <c r="ED32">
        <v>0.5</v>
      </c>
      <c r="EE32">
        <v>0.3825503355704698</v>
      </c>
      <c r="EF32">
        <v>5</v>
      </c>
      <c r="EG32">
        <v>57</v>
      </c>
      <c r="EH32">
        <v>9.9999999999999978E-2</v>
      </c>
      <c r="EI32">
        <v>6.0402684563758413E-2</v>
      </c>
      <c r="EJ32">
        <v>0.99999999999999978</v>
      </c>
      <c r="EK32">
        <v>9.0000000000000036</v>
      </c>
      <c r="EL32">
        <v>0</v>
      </c>
      <c r="EM32">
        <v>9.3959731543624164E-2</v>
      </c>
      <c r="EN32">
        <v>0</v>
      </c>
      <c r="EO32">
        <v>14</v>
      </c>
      <c r="EP32">
        <v>0</v>
      </c>
      <c r="EQ32">
        <v>6.7114093959731544E-2</v>
      </c>
      <c r="ER32">
        <v>0</v>
      </c>
      <c r="ES32">
        <v>10</v>
      </c>
      <c r="ET32">
        <v>0</v>
      </c>
      <c r="EU32">
        <v>0.50335570469798663</v>
      </c>
      <c r="EV32">
        <v>0</v>
      </c>
      <c r="EW32">
        <v>75</v>
      </c>
      <c r="EX32">
        <v>0</v>
      </c>
      <c r="EY32">
        <v>6.7114093959731544E-2</v>
      </c>
      <c r="EZ32">
        <v>0</v>
      </c>
      <c r="FA32">
        <v>10</v>
      </c>
      <c r="FB32">
        <v>0</v>
      </c>
      <c r="FC32">
        <v>8.7248322147651006E-2</v>
      </c>
      <c r="FD32">
        <v>0</v>
      </c>
      <c r="FE32">
        <v>13</v>
      </c>
      <c r="FF32">
        <v>1</v>
      </c>
      <c r="FG32">
        <v>0.13422818791946309</v>
      </c>
      <c r="FH32">
        <v>10</v>
      </c>
      <c r="FI32">
        <v>20</v>
      </c>
      <c r="FJ32">
        <v>0</v>
      </c>
      <c r="FK32">
        <v>4.6979865771812082E-2</v>
      </c>
      <c r="FL32">
        <v>0</v>
      </c>
      <c r="FM32">
        <v>7</v>
      </c>
      <c r="FN32">
        <v>2</v>
      </c>
      <c r="FO32">
        <v>37</v>
      </c>
      <c r="FP32">
        <v>2</v>
      </c>
      <c r="FQ32">
        <v>37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0.48648648648648651</v>
      </c>
      <c r="GB32">
        <v>0</v>
      </c>
      <c r="GC32">
        <v>18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5.4054054054054057E-2</v>
      </c>
      <c r="GJ32">
        <v>0</v>
      </c>
      <c r="GK32">
        <v>2</v>
      </c>
      <c r="GL32">
        <v>1</v>
      </c>
      <c r="GM32">
        <v>0.32432432432432434</v>
      </c>
      <c r="GN32">
        <v>2</v>
      </c>
      <c r="GO32">
        <v>12</v>
      </c>
      <c r="GP32">
        <v>0</v>
      </c>
      <c r="GQ32">
        <v>0.13513513513513514</v>
      </c>
      <c r="GR32">
        <v>0</v>
      </c>
      <c r="GS32">
        <v>5</v>
      </c>
      <c r="GT32">
        <v>0.1</v>
      </c>
      <c r="GU32">
        <v>7.3825503355704702E-2</v>
      </c>
      <c r="GV32">
        <v>1</v>
      </c>
      <c r="GW32">
        <v>11</v>
      </c>
      <c r="GX32">
        <v>0.3</v>
      </c>
      <c r="GY32">
        <v>7.3825503355704702E-2</v>
      </c>
      <c r="GZ32">
        <v>3</v>
      </c>
      <c r="HA32">
        <v>11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0</v>
      </c>
      <c r="HJ32">
        <v>0</v>
      </c>
      <c r="HK32">
        <v>6.7114093959731542E-3</v>
      </c>
      <c r="HL32">
        <v>0</v>
      </c>
      <c r="HM32">
        <v>1</v>
      </c>
      <c r="HN32">
        <v>0</v>
      </c>
      <c r="HO32">
        <v>0</v>
      </c>
      <c r="HP32">
        <v>0</v>
      </c>
      <c r="HQ32">
        <v>0</v>
      </c>
      <c r="HR32">
        <v>0.6</v>
      </c>
      <c r="HS32">
        <v>0.81208053691275173</v>
      </c>
      <c r="HT32">
        <v>6</v>
      </c>
      <c r="HU32">
        <v>121</v>
      </c>
      <c r="HV32">
        <v>0</v>
      </c>
      <c r="HW32">
        <v>3.3557046979865772E-2</v>
      </c>
      <c r="HX32">
        <v>0</v>
      </c>
      <c r="HY32">
        <v>5</v>
      </c>
      <c r="HZ32">
        <v>0.2857142857142857</v>
      </c>
      <c r="IA32">
        <v>0.48888888888888887</v>
      </c>
      <c r="IB32">
        <v>2</v>
      </c>
      <c r="IC32">
        <v>22</v>
      </c>
      <c r="ID32">
        <v>0.2857142857142857</v>
      </c>
      <c r="IE32">
        <v>8.8888888888888892E-2</v>
      </c>
      <c r="IF32">
        <v>2</v>
      </c>
      <c r="IG32">
        <v>4</v>
      </c>
      <c r="IH32">
        <v>0.14285714285714285</v>
      </c>
      <c r="II32">
        <v>6.6666666666666666E-2</v>
      </c>
      <c r="IJ32">
        <v>1</v>
      </c>
      <c r="IK32">
        <v>3</v>
      </c>
      <c r="IL32">
        <v>0.14285714285714285</v>
      </c>
      <c r="IM32">
        <v>8.8888888888888892E-2</v>
      </c>
      <c r="IN32">
        <v>1</v>
      </c>
      <c r="IO32">
        <v>4</v>
      </c>
      <c r="IP32">
        <v>0.14285714285714285</v>
      </c>
      <c r="IQ32">
        <v>0.26666666666666666</v>
      </c>
      <c r="IR32">
        <v>1</v>
      </c>
      <c r="IS32">
        <v>12</v>
      </c>
      <c r="IT32">
        <v>20.25</v>
      </c>
      <c r="IU32">
        <v>66.038461538461533</v>
      </c>
      <c r="IV32">
        <v>0.5</v>
      </c>
      <c r="IW32">
        <v>0.61538461538461542</v>
      </c>
      <c r="IX32">
        <v>2</v>
      </c>
      <c r="IY32">
        <v>16</v>
      </c>
      <c r="IZ32">
        <v>0</v>
      </c>
      <c r="JA32">
        <v>3.8461538461538464E-2</v>
      </c>
      <c r="JB32">
        <v>0</v>
      </c>
      <c r="JC32">
        <v>1</v>
      </c>
      <c r="JD32">
        <v>0.25</v>
      </c>
      <c r="JE32">
        <v>0.11538461538461539</v>
      </c>
      <c r="JF32">
        <v>1</v>
      </c>
      <c r="JG32">
        <v>3</v>
      </c>
      <c r="JH32">
        <v>0.25</v>
      </c>
      <c r="JI32">
        <v>3.8461538461538464E-2</v>
      </c>
      <c r="JJ32">
        <v>1</v>
      </c>
      <c r="JK32">
        <v>1</v>
      </c>
      <c r="JL32">
        <v>0</v>
      </c>
      <c r="JM32">
        <v>0.19230769230769232</v>
      </c>
      <c r="JN32">
        <v>0</v>
      </c>
      <c r="JO32">
        <v>5</v>
      </c>
      <c r="JP32">
        <v>0</v>
      </c>
      <c r="JQ32">
        <v>0</v>
      </c>
      <c r="JR32">
        <v>0</v>
      </c>
      <c r="JS32">
        <v>0</v>
      </c>
      <c r="JT32">
        <v>1</v>
      </c>
      <c r="JU32">
        <v>0.875</v>
      </c>
      <c r="JV32">
        <v>1</v>
      </c>
      <c r="JW32">
        <v>7</v>
      </c>
      <c r="JX32">
        <v>0</v>
      </c>
      <c r="JY32">
        <v>0</v>
      </c>
      <c r="JZ32">
        <v>0</v>
      </c>
      <c r="KA32">
        <v>0</v>
      </c>
      <c r="KB32">
        <v>0</v>
      </c>
      <c r="KC32">
        <v>0.125</v>
      </c>
      <c r="KD32">
        <v>0</v>
      </c>
      <c r="KE32">
        <v>1</v>
      </c>
      <c r="KF32">
        <v>0</v>
      </c>
      <c r="KG32">
        <v>0</v>
      </c>
      <c r="KH32">
        <v>0</v>
      </c>
      <c r="KI32">
        <v>0</v>
      </c>
      <c r="KJ32">
        <v>1</v>
      </c>
      <c r="KK32">
        <v>0.5</v>
      </c>
      <c r="KL32">
        <v>1</v>
      </c>
      <c r="KM32">
        <v>4</v>
      </c>
      <c r="KN32">
        <v>0</v>
      </c>
      <c r="KO32">
        <v>0</v>
      </c>
      <c r="KP32">
        <v>0</v>
      </c>
      <c r="KQ32">
        <v>0</v>
      </c>
      <c r="KR32">
        <v>0</v>
      </c>
      <c r="KS32">
        <v>0</v>
      </c>
      <c r="KT32">
        <v>0</v>
      </c>
      <c r="KU32">
        <v>0</v>
      </c>
      <c r="KV32">
        <v>0</v>
      </c>
      <c r="KW32">
        <v>0</v>
      </c>
      <c r="KX32">
        <v>0</v>
      </c>
      <c r="KY32">
        <v>0</v>
      </c>
      <c r="KZ32">
        <v>0</v>
      </c>
      <c r="LA32">
        <v>0.5</v>
      </c>
      <c r="LB32">
        <v>0</v>
      </c>
      <c r="LC32">
        <v>4</v>
      </c>
      <c r="LD32">
        <v>0.4</v>
      </c>
      <c r="LE32">
        <v>0.2</v>
      </c>
      <c r="LF32">
        <v>0</v>
      </c>
      <c r="LG32">
        <v>0.2</v>
      </c>
      <c r="LH32">
        <v>0.41610738255033558</v>
      </c>
      <c r="LI32">
        <v>0.36912751677852351</v>
      </c>
      <c r="LJ32">
        <v>6.7114093959731542E-3</v>
      </c>
      <c r="LK32">
        <v>4.0268456375838924E-2</v>
      </c>
    </row>
    <row r="33" spans="1:323" x14ac:dyDescent="0.25">
      <c r="A33" t="s">
        <v>16</v>
      </c>
      <c r="B33" t="s">
        <v>57</v>
      </c>
      <c r="C33" t="s">
        <v>183</v>
      </c>
      <c r="D33">
        <v>8.2644628099173556E-3</v>
      </c>
      <c r="E33">
        <v>4.1322314049586778E-2</v>
      </c>
      <c r="F33">
        <v>0.21487603305785125</v>
      </c>
      <c r="G33">
        <v>0.40909090909090912</v>
      </c>
      <c r="H33">
        <v>0.32644628099173556</v>
      </c>
      <c r="I33">
        <v>1.1579818031430935E-2</v>
      </c>
      <c r="J33">
        <v>6.1621174524400329E-2</v>
      </c>
      <c r="K33">
        <v>0.21464019851116625</v>
      </c>
      <c r="L33">
        <v>0.44582299421009097</v>
      </c>
      <c r="M33">
        <v>0.26633581472291151</v>
      </c>
      <c r="N33">
        <v>0.63461538461538458</v>
      </c>
      <c r="O33">
        <v>0.36538461538461542</v>
      </c>
      <c r="P33">
        <v>0.65895953757225434</v>
      </c>
      <c r="Q33">
        <v>0.34104046242774566</v>
      </c>
      <c r="R33">
        <v>52</v>
      </c>
      <c r="S33">
        <v>55.17307692307692</v>
      </c>
      <c r="T33">
        <v>4</v>
      </c>
      <c r="U33">
        <v>9.615384615384615</v>
      </c>
      <c r="V33">
        <v>4.4615384615384617</v>
      </c>
      <c r="W33">
        <v>21.115384615384617</v>
      </c>
      <c r="X33">
        <v>519</v>
      </c>
      <c r="Y33">
        <v>55.188824662813104</v>
      </c>
      <c r="Z33">
        <v>40</v>
      </c>
      <c r="AA33">
        <v>12.921001926782274</v>
      </c>
      <c r="AB33">
        <v>4.5202312138728322</v>
      </c>
      <c r="AC33">
        <v>37.136801541425818</v>
      </c>
      <c r="AD33">
        <v>0.97879858657243812</v>
      </c>
      <c r="AE33">
        <v>0.60176557135850905</v>
      </c>
      <c r="AF33">
        <v>277</v>
      </c>
      <c r="AG33">
        <v>2454</v>
      </c>
      <c r="AH33">
        <v>0</v>
      </c>
      <c r="AI33">
        <v>0.37788131436978911</v>
      </c>
      <c r="AJ33">
        <v>0</v>
      </c>
      <c r="AK33">
        <v>1541</v>
      </c>
      <c r="AL33">
        <v>2.1201413427561839E-2</v>
      </c>
      <c r="AM33">
        <v>1.8391368317802845E-2</v>
      </c>
      <c r="AN33">
        <v>6</v>
      </c>
      <c r="AO33">
        <v>75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1.9617459538989702E-3</v>
      </c>
      <c r="AV33">
        <v>0</v>
      </c>
      <c r="AW33">
        <v>8</v>
      </c>
      <c r="AX33">
        <v>0</v>
      </c>
      <c r="AY33">
        <v>0</v>
      </c>
      <c r="AZ33">
        <v>0</v>
      </c>
      <c r="BA33">
        <v>0</v>
      </c>
      <c r="BB33">
        <v>0.48076923076923078</v>
      </c>
      <c r="BC33">
        <v>18.846153846153847</v>
      </c>
      <c r="BD33">
        <v>9.6153846153846159E-2</v>
      </c>
      <c r="BE33">
        <v>1</v>
      </c>
      <c r="BF33">
        <v>0</v>
      </c>
      <c r="BG33" s="116" t="s">
        <v>187</v>
      </c>
      <c r="BH33">
        <v>0.31021194605009633</v>
      </c>
      <c r="BI33">
        <v>7.2292870905587669</v>
      </c>
      <c r="BJ33">
        <v>6.1657032755298651E-2</v>
      </c>
      <c r="BK33">
        <v>1.3333333333333333</v>
      </c>
      <c r="BL33">
        <v>0</v>
      </c>
      <c r="BM33">
        <v>0</v>
      </c>
      <c r="BN33">
        <v>0.35775862068965519</v>
      </c>
      <c r="BO33">
        <v>0.27024722932651324</v>
      </c>
      <c r="BP33">
        <v>83</v>
      </c>
      <c r="BQ33">
        <v>634</v>
      </c>
      <c r="BR33">
        <v>0.15086206896551724</v>
      </c>
      <c r="BS33">
        <v>0.15942028985507245</v>
      </c>
      <c r="BT33">
        <v>35</v>
      </c>
      <c r="BU33">
        <v>374</v>
      </c>
      <c r="BV33">
        <v>9.4827586206896547E-2</v>
      </c>
      <c r="BW33">
        <v>5.7971014492753624E-2</v>
      </c>
      <c r="BX33">
        <v>22</v>
      </c>
      <c r="BY33">
        <v>136</v>
      </c>
      <c r="BZ33">
        <v>5.6034482758620691E-2</v>
      </c>
      <c r="CA33">
        <v>6.1381074168797956E-2</v>
      </c>
      <c r="CB33">
        <v>13</v>
      </c>
      <c r="CC33">
        <v>144</v>
      </c>
      <c r="CD33">
        <v>5.6034482758620691E-2</v>
      </c>
      <c r="CE33">
        <v>4.6035805626598467E-2</v>
      </c>
      <c r="CF33">
        <v>13</v>
      </c>
      <c r="CG33">
        <v>108</v>
      </c>
      <c r="CH33">
        <v>3.017241379310345E-2</v>
      </c>
      <c r="CI33">
        <v>3.7084398976982097E-2</v>
      </c>
      <c r="CJ33">
        <v>7</v>
      </c>
      <c r="CK33">
        <v>87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3.239556692242114E-2</v>
      </c>
      <c r="CR33">
        <v>0</v>
      </c>
      <c r="CS33">
        <v>76</v>
      </c>
      <c r="CT33">
        <v>4.7413793103448273E-2</v>
      </c>
      <c r="CU33">
        <v>5.285592497868713E-2</v>
      </c>
      <c r="CV33">
        <v>11</v>
      </c>
      <c r="CW33">
        <v>124</v>
      </c>
      <c r="CX33">
        <v>0.18103448275862069</v>
      </c>
      <c r="CY33">
        <v>0.25191815856777494</v>
      </c>
      <c r="CZ33">
        <v>42</v>
      </c>
      <c r="DA33">
        <v>591</v>
      </c>
      <c r="DB33">
        <v>2.5862068965517349E-2</v>
      </c>
      <c r="DC33">
        <v>3.0690537084398839E-2</v>
      </c>
      <c r="DD33">
        <v>6.0000000000000249</v>
      </c>
      <c r="DE33">
        <v>45.831325301205013</v>
      </c>
      <c r="DF33">
        <v>7.6923076923076927E-2</v>
      </c>
      <c r="DG33">
        <v>0.10597302504816955</v>
      </c>
      <c r="DH33">
        <v>4</v>
      </c>
      <c r="DI33">
        <v>55</v>
      </c>
      <c r="DJ33">
        <v>1.9230769230769232E-2</v>
      </c>
      <c r="DK33">
        <v>5.0096339113680152E-2</v>
      </c>
      <c r="DL33">
        <v>1</v>
      </c>
      <c r="DM33">
        <v>26</v>
      </c>
      <c r="DN33">
        <v>0.13461538461538461</v>
      </c>
      <c r="DO33">
        <v>0.13680154142581888</v>
      </c>
      <c r="DP33">
        <v>7</v>
      </c>
      <c r="DQ33">
        <v>71</v>
      </c>
      <c r="DR33">
        <v>3.8461538461538464E-2</v>
      </c>
      <c r="DS33">
        <v>1.9267822736030827E-2</v>
      </c>
      <c r="DT33">
        <v>2</v>
      </c>
      <c r="DU33">
        <v>10</v>
      </c>
      <c r="DV33">
        <v>0.13461538461538461</v>
      </c>
      <c r="DW33">
        <v>9.8265895953757232E-2</v>
      </c>
      <c r="DX33">
        <v>7</v>
      </c>
      <c r="DY33">
        <v>51</v>
      </c>
      <c r="DZ33">
        <v>5.7692307692307696E-2</v>
      </c>
      <c r="EA33">
        <v>9.6339113680154145E-2</v>
      </c>
      <c r="EB33">
        <v>3</v>
      </c>
      <c r="EC33">
        <v>50</v>
      </c>
      <c r="ED33">
        <v>0.51923076923076927</v>
      </c>
      <c r="EE33">
        <v>0.42003853564547206</v>
      </c>
      <c r="EF33">
        <v>27</v>
      </c>
      <c r="EG33">
        <v>218</v>
      </c>
      <c r="EH33">
        <v>1.9230769230769162E-2</v>
      </c>
      <c r="EI33">
        <v>7.3217726396917149E-2</v>
      </c>
      <c r="EJ33">
        <v>0.99999999999999645</v>
      </c>
      <c r="EK33">
        <v>38</v>
      </c>
      <c r="EL33">
        <v>0</v>
      </c>
      <c r="EM33">
        <v>9.8265895953757232E-2</v>
      </c>
      <c r="EN33">
        <v>0</v>
      </c>
      <c r="EO33">
        <v>51</v>
      </c>
      <c r="EP33">
        <v>0</v>
      </c>
      <c r="EQ33">
        <v>7.7071290944123308E-2</v>
      </c>
      <c r="ER33">
        <v>0</v>
      </c>
      <c r="ES33">
        <v>40</v>
      </c>
      <c r="ET33">
        <v>0</v>
      </c>
      <c r="EU33">
        <v>0.50289017341040465</v>
      </c>
      <c r="EV33">
        <v>0</v>
      </c>
      <c r="EW33">
        <v>261</v>
      </c>
      <c r="EX33">
        <v>0</v>
      </c>
      <c r="EY33">
        <v>4.046242774566474E-2</v>
      </c>
      <c r="EZ33">
        <v>0</v>
      </c>
      <c r="FA33">
        <v>21</v>
      </c>
      <c r="FB33">
        <v>0</v>
      </c>
      <c r="FC33">
        <v>7.7071290944123308E-2</v>
      </c>
      <c r="FD33">
        <v>0</v>
      </c>
      <c r="FE33">
        <v>40</v>
      </c>
      <c r="FF33">
        <v>1</v>
      </c>
      <c r="FG33">
        <v>0.16955684007707128</v>
      </c>
      <c r="FH33">
        <v>52</v>
      </c>
      <c r="FI33">
        <v>88</v>
      </c>
      <c r="FJ33">
        <v>0</v>
      </c>
      <c r="FK33">
        <v>3.4682080924855488E-2</v>
      </c>
      <c r="FL33">
        <v>0</v>
      </c>
      <c r="FM33">
        <v>18</v>
      </c>
      <c r="FN33">
        <v>13</v>
      </c>
      <c r="FO33">
        <v>108</v>
      </c>
      <c r="FP33">
        <v>13</v>
      </c>
      <c r="FQ33">
        <v>108</v>
      </c>
      <c r="FR33">
        <v>0</v>
      </c>
      <c r="FS33">
        <v>7.407407407407407E-2</v>
      </c>
      <c r="FT33">
        <v>0</v>
      </c>
      <c r="FU33">
        <v>8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0.45370370370370372</v>
      </c>
      <c r="GB33">
        <v>0</v>
      </c>
      <c r="GC33">
        <v>49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2.7777777777777776E-2</v>
      </c>
      <c r="GJ33">
        <v>0</v>
      </c>
      <c r="GK33">
        <v>3</v>
      </c>
      <c r="GL33">
        <v>1</v>
      </c>
      <c r="GM33">
        <v>0.37962962962962965</v>
      </c>
      <c r="GN33">
        <v>13</v>
      </c>
      <c r="GO33">
        <v>41</v>
      </c>
      <c r="GP33">
        <v>0</v>
      </c>
      <c r="GQ33">
        <v>6.4814814814814811E-2</v>
      </c>
      <c r="GR33">
        <v>0</v>
      </c>
      <c r="GS33">
        <v>7</v>
      </c>
      <c r="GT33">
        <v>5.7692307692307696E-2</v>
      </c>
      <c r="GU33">
        <v>4.6242774566473986E-2</v>
      </c>
      <c r="GV33">
        <v>3</v>
      </c>
      <c r="GW33">
        <v>24</v>
      </c>
      <c r="GX33">
        <v>7.6923076923076927E-2</v>
      </c>
      <c r="GY33">
        <v>6.5510597302504817E-2</v>
      </c>
      <c r="GZ33">
        <v>4</v>
      </c>
      <c r="HA33">
        <v>34</v>
      </c>
      <c r="HB33">
        <v>0</v>
      </c>
      <c r="HC33">
        <v>0</v>
      </c>
      <c r="HD33">
        <v>0</v>
      </c>
      <c r="HE33">
        <v>0</v>
      </c>
      <c r="HF33">
        <v>0</v>
      </c>
      <c r="HG33">
        <v>0</v>
      </c>
      <c r="HH33">
        <v>0</v>
      </c>
      <c r="HI33">
        <v>0</v>
      </c>
      <c r="HJ33">
        <v>0</v>
      </c>
      <c r="HK33">
        <v>0</v>
      </c>
      <c r="HL33">
        <v>0</v>
      </c>
      <c r="HM33">
        <v>0</v>
      </c>
      <c r="HN33">
        <v>0</v>
      </c>
      <c r="HO33">
        <v>0</v>
      </c>
      <c r="HP33">
        <v>0</v>
      </c>
      <c r="HQ33">
        <v>0</v>
      </c>
      <c r="HR33">
        <v>0.78846153846153844</v>
      </c>
      <c r="HS33">
        <v>0.8554913294797688</v>
      </c>
      <c r="HT33">
        <v>41</v>
      </c>
      <c r="HU33">
        <v>444</v>
      </c>
      <c r="HV33">
        <v>7.6923076923076927E-2</v>
      </c>
      <c r="HW33">
        <v>3.2755298651252408E-2</v>
      </c>
      <c r="HX33">
        <v>4</v>
      </c>
      <c r="HY33">
        <v>17</v>
      </c>
      <c r="HZ33">
        <v>0.46153846153846156</v>
      </c>
      <c r="IA33">
        <v>0.47619047619047616</v>
      </c>
      <c r="IB33">
        <v>12</v>
      </c>
      <c r="IC33">
        <v>80</v>
      </c>
      <c r="ID33">
        <v>0.26923076923076922</v>
      </c>
      <c r="IE33">
        <v>0.18452380952380953</v>
      </c>
      <c r="IF33">
        <v>7</v>
      </c>
      <c r="IG33">
        <v>31</v>
      </c>
      <c r="IH33">
        <v>3.8461538461538464E-2</v>
      </c>
      <c r="II33">
        <v>4.7619047619047616E-2</v>
      </c>
      <c r="IJ33">
        <v>1</v>
      </c>
      <c r="IK33">
        <v>8</v>
      </c>
      <c r="IL33">
        <v>0</v>
      </c>
      <c r="IM33">
        <v>2.976190476190476E-2</v>
      </c>
      <c r="IN33">
        <v>0</v>
      </c>
      <c r="IO33">
        <v>5</v>
      </c>
      <c r="IP33">
        <v>0.23076923076923078</v>
      </c>
      <c r="IQ33">
        <v>0.26190476190476192</v>
      </c>
      <c r="IR33">
        <v>6</v>
      </c>
      <c r="IS33">
        <v>44</v>
      </c>
      <c r="IT33">
        <v>99.5</v>
      </c>
      <c r="IU33">
        <v>73.745614035087726</v>
      </c>
      <c r="IV33">
        <v>0.3888888888888889</v>
      </c>
      <c r="IW33">
        <v>0.53508771929824561</v>
      </c>
      <c r="IX33">
        <v>7</v>
      </c>
      <c r="IY33">
        <v>61</v>
      </c>
      <c r="IZ33">
        <v>0.22222222222222221</v>
      </c>
      <c r="JA33">
        <v>0.14035087719298245</v>
      </c>
      <c r="JB33">
        <v>4</v>
      </c>
      <c r="JC33">
        <v>16</v>
      </c>
      <c r="JD33">
        <v>5.5555555555555552E-2</v>
      </c>
      <c r="JE33">
        <v>6.1403508771929821E-2</v>
      </c>
      <c r="JF33">
        <v>1</v>
      </c>
      <c r="JG33">
        <v>7</v>
      </c>
      <c r="JH33">
        <v>0</v>
      </c>
      <c r="JI33">
        <v>1.7543859649122806E-2</v>
      </c>
      <c r="JJ33">
        <v>0</v>
      </c>
      <c r="JK33">
        <v>2</v>
      </c>
      <c r="JL33">
        <v>0.33333333333333331</v>
      </c>
      <c r="JM33">
        <v>0.24561403508771928</v>
      </c>
      <c r="JN33">
        <v>6</v>
      </c>
      <c r="JO33">
        <v>28</v>
      </c>
      <c r="JP33">
        <v>0</v>
      </c>
      <c r="JQ33">
        <v>0.2</v>
      </c>
      <c r="JR33">
        <v>0</v>
      </c>
      <c r="JS33">
        <v>6</v>
      </c>
      <c r="JT33">
        <v>1</v>
      </c>
      <c r="JU33">
        <v>0.66666666666666663</v>
      </c>
      <c r="JV33">
        <v>5</v>
      </c>
      <c r="JW33">
        <v>20</v>
      </c>
      <c r="JX33">
        <v>0</v>
      </c>
      <c r="JY33">
        <v>0</v>
      </c>
      <c r="JZ33">
        <v>0</v>
      </c>
      <c r="KA33">
        <v>0</v>
      </c>
      <c r="KB33">
        <v>0</v>
      </c>
      <c r="KC33">
        <v>0</v>
      </c>
      <c r="KD33">
        <v>0</v>
      </c>
      <c r="KE33">
        <v>0</v>
      </c>
      <c r="KF33">
        <v>0</v>
      </c>
      <c r="KG33">
        <v>0.1333333333333333</v>
      </c>
      <c r="KH33">
        <v>0</v>
      </c>
      <c r="KI33">
        <v>4</v>
      </c>
      <c r="KJ33">
        <v>0.2</v>
      </c>
      <c r="KK33">
        <v>0.1</v>
      </c>
      <c r="KL33">
        <v>1</v>
      </c>
      <c r="KM33">
        <v>3</v>
      </c>
      <c r="KN33">
        <v>0</v>
      </c>
      <c r="KO33">
        <v>0.23333333333333334</v>
      </c>
      <c r="KP33">
        <v>0</v>
      </c>
      <c r="KQ33">
        <v>7</v>
      </c>
      <c r="KR33">
        <v>0</v>
      </c>
      <c r="KS33">
        <v>0.13333333333333333</v>
      </c>
      <c r="KT33">
        <v>0</v>
      </c>
      <c r="KU33">
        <v>4</v>
      </c>
      <c r="KV33">
        <v>0.2</v>
      </c>
      <c r="KW33">
        <v>0.16666666666666666</v>
      </c>
      <c r="KX33">
        <v>1</v>
      </c>
      <c r="KY33">
        <v>5</v>
      </c>
      <c r="KZ33">
        <v>0.6</v>
      </c>
      <c r="LA33">
        <v>0.3666666666666667</v>
      </c>
      <c r="LB33">
        <v>3</v>
      </c>
      <c r="LC33">
        <v>11</v>
      </c>
      <c r="LD33">
        <v>0.48076923076923078</v>
      </c>
      <c r="LE33">
        <v>0.32692307692307693</v>
      </c>
      <c r="LF33">
        <v>5.7692307692307696E-2</v>
      </c>
      <c r="LG33">
        <v>9.6153846153846145E-2</v>
      </c>
      <c r="LH33">
        <v>0.39691714836223507</v>
      </c>
      <c r="LI33">
        <v>0.34874759152215801</v>
      </c>
      <c r="LJ33">
        <v>9.6339113680154135E-3</v>
      </c>
      <c r="LK33">
        <v>3.8535645472061675E-2</v>
      </c>
    </row>
    <row r="34" spans="1:323" x14ac:dyDescent="0.25">
      <c r="A34" t="s">
        <v>16</v>
      </c>
      <c r="B34" t="s">
        <v>58</v>
      </c>
      <c r="C34" t="s">
        <v>184</v>
      </c>
      <c r="D34">
        <v>8.2644628099173556E-3</v>
      </c>
      <c r="E34">
        <v>4.1322314049586778E-2</v>
      </c>
      <c r="F34">
        <v>0.21487603305785125</v>
      </c>
      <c r="G34">
        <v>0.40909090909090912</v>
      </c>
      <c r="H34">
        <v>0.32644628099173556</v>
      </c>
      <c r="I34">
        <v>1.1579818031430935E-2</v>
      </c>
      <c r="J34">
        <v>6.1621174524400329E-2</v>
      </c>
      <c r="K34">
        <v>0.21464019851116625</v>
      </c>
      <c r="L34">
        <v>0.44582299421009097</v>
      </c>
      <c r="M34">
        <v>0.26633581472291151</v>
      </c>
      <c r="N34">
        <v>0.71717171717171713</v>
      </c>
      <c r="O34">
        <v>0.28282828282828287</v>
      </c>
      <c r="P34">
        <v>0.74953617810760664</v>
      </c>
      <c r="Q34">
        <v>0.25046382189239336</v>
      </c>
      <c r="R34">
        <v>99</v>
      </c>
      <c r="S34">
        <v>66.747474747474755</v>
      </c>
      <c r="T34">
        <v>12</v>
      </c>
      <c r="U34">
        <v>7.7575757575757578</v>
      </c>
      <c r="V34">
        <v>3.7878787878787881</v>
      </c>
      <c r="W34">
        <v>20.696969696969695</v>
      </c>
      <c r="X34">
        <v>1078</v>
      </c>
      <c r="Y34">
        <v>66.545454545454547</v>
      </c>
      <c r="Z34">
        <v>117</v>
      </c>
      <c r="AA34">
        <v>11.397959183673469</v>
      </c>
      <c r="AB34">
        <v>4.1419294990723561</v>
      </c>
      <c r="AC34">
        <v>33.974953617810762</v>
      </c>
      <c r="AD34">
        <v>0.94615384615384612</v>
      </c>
      <c r="AE34">
        <v>0.54749015748031493</v>
      </c>
      <c r="AF34">
        <v>369</v>
      </c>
      <c r="AG34">
        <v>4450</v>
      </c>
      <c r="AH34">
        <v>3.8461538461538464E-2</v>
      </c>
      <c r="AI34">
        <v>0.43085629921259844</v>
      </c>
      <c r="AJ34">
        <v>15</v>
      </c>
      <c r="AK34">
        <v>3502</v>
      </c>
      <c r="AL34">
        <v>1.5384615384615385E-2</v>
      </c>
      <c r="AM34">
        <v>1.7470472440944882E-2</v>
      </c>
      <c r="AN34">
        <v>6</v>
      </c>
      <c r="AO34">
        <v>142</v>
      </c>
      <c r="AP34">
        <v>0</v>
      </c>
      <c r="AQ34">
        <v>1.3533464566929134E-3</v>
      </c>
      <c r="AR34">
        <v>0</v>
      </c>
      <c r="AS34">
        <v>11</v>
      </c>
      <c r="AT34">
        <v>0</v>
      </c>
      <c r="AU34">
        <v>2.7066929133858267E-3</v>
      </c>
      <c r="AV34">
        <v>0</v>
      </c>
      <c r="AW34">
        <v>22</v>
      </c>
      <c r="AX34">
        <v>0</v>
      </c>
      <c r="AY34">
        <v>1.2303149606299212E-4</v>
      </c>
      <c r="AZ34">
        <v>0</v>
      </c>
      <c r="BA34">
        <v>1</v>
      </c>
      <c r="BB34">
        <v>0.48484848484848486</v>
      </c>
      <c r="BC34">
        <v>18.696969696969695</v>
      </c>
      <c r="BD34">
        <v>1.0101010101010102E-2</v>
      </c>
      <c r="BE34">
        <v>0.23232323232323232</v>
      </c>
      <c r="BF34">
        <v>5.0505050505050504E-2</v>
      </c>
      <c r="BG34" s="116" t="s">
        <v>187</v>
      </c>
      <c r="BH34">
        <v>0.3432282003710575</v>
      </c>
      <c r="BI34">
        <v>8.3079777365491658</v>
      </c>
      <c r="BJ34">
        <v>6.4007421150278299E-2</v>
      </c>
      <c r="BK34">
        <v>1.5213358070500929</v>
      </c>
      <c r="BL34">
        <v>7.4211502782931356E-3</v>
      </c>
      <c r="BM34">
        <v>0.13636363636363635</v>
      </c>
      <c r="BN34">
        <v>0.20799999999999999</v>
      </c>
      <c r="BO34">
        <v>0.19955207166853303</v>
      </c>
      <c r="BP34">
        <v>78</v>
      </c>
      <c r="BQ34">
        <v>891</v>
      </c>
      <c r="BR34">
        <v>0.20799999999999999</v>
      </c>
      <c r="BS34">
        <v>0.18096304591265397</v>
      </c>
      <c r="BT34">
        <v>78</v>
      </c>
      <c r="BU34">
        <v>808</v>
      </c>
      <c r="BV34">
        <v>9.0666666666666673E-2</v>
      </c>
      <c r="BW34">
        <v>5.4647256438969762E-2</v>
      </c>
      <c r="BX34">
        <v>34</v>
      </c>
      <c r="BY34">
        <v>244</v>
      </c>
      <c r="BZ34">
        <v>6.4000000000000001E-2</v>
      </c>
      <c r="CA34">
        <v>6.2933930571108618E-2</v>
      </c>
      <c r="CB34">
        <v>24</v>
      </c>
      <c r="CC34">
        <v>281</v>
      </c>
      <c r="CD34">
        <v>7.4666666666666673E-2</v>
      </c>
      <c r="CE34">
        <v>5.6886898096304594E-2</v>
      </c>
      <c r="CF34">
        <v>28</v>
      </c>
      <c r="CG34">
        <v>254</v>
      </c>
      <c r="CH34">
        <v>0.04</v>
      </c>
      <c r="CI34">
        <v>4.0985442329227323E-2</v>
      </c>
      <c r="CJ34">
        <v>15</v>
      </c>
      <c r="CK34">
        <v>183</v>
      </c>
      <c r="CL34">
        <v>0</v>
      </c>
      <c r="CM34">
        <v>0</v>
      </c>
      <c r="CN34">
        <v>0</v>
      </c>
      <c r="CO34">
        <v>0</v>
      </c>
      <c r="CP34">
        <v>2.6666666666666666E-3</v>
      </c>
      <c r="CQ34">
        <v>2.553191489361702E-2</v>
      </c>
      <c r="CR34">
        <v>1</v>
      </c>
      <c r="CS34">
        <v>114</v>
      </c>
      <c r="CT34">
        <v>7.1999999999999995E-2</v>
      </c>
      <c r="CU34">
        <v>5.3751399776035831E-2</v>
      </c>
      <c r="CV34">
        <v>27</v>
      </c>
      <c r="CW34">
        <v>240</v>
      </c>
      <c r="CX34">
        <v>0.21066666666666667</v>
      </c>
      <c r="CY34">
        <v>0.29832026875699891</v>
      </c>
      <c r="CZ34">
        <v>79</v>
      </c>
      <c r="DA34">
        <v>1332</v>
      </c>
      <c r="DB34">
        <v>2.9333333333333322E-2</v>
      </c>
      <c r="DC34">
        <v>2.642777155655085E-2</v>
      </c>
      <c r="DD34">
        <v>10.999999999999998</v>
      </c>
      <c r="DE34">
        <v>125.6538461538461</v>
      </c>
      <c r="DF34">
        <v>0.10101010101010101</v>
      </c>
      <c r="DG34">
        <v>9.9257884972170682E-2</v>
      </c>
      <c r="DH34">
        <v>10</v>
      </c>
      <c r="DI34">
        <v>107</v>
      </c>
      <c r="DJ34">
        <v>3.0303030303030304E-2</v>
      </c>
      <c r="DK34">
        <v>5.1948051948051951E-2</v>
      </c>
      <c r="DL34">
        <v>3</v>
      </c>
      <c r="DM34">
        <v>56</v>
      </c>
      <c r="DN34">
        <v>0.1111111111111111</v>
      </c>
      <c r="DO34">
        <v>0.13358070500927643</v>
      </c>
      <c r="DP34">
        <v>11</v>
      </c>
      <c r="DQ34">
        <v>144</v>
      </c>
      <c r="DR34">
        <v>7.0707070707070704E-2</v>
      </c>
      <c r="DS34">
        <v>2.8756957328385901E-2</v>
      </c>
      <c r="DT34">
        <v>7</v>
      </c>
      <c r="DU34">
        <v>31</v>
      </c>
      <c r="DV34">
        <v>2.0202020202020204E-2</v>
      </c>
      <c r="DW34">
        <v>6.4007421150278299E-2</v>
      </c>
      <c r="DX34">
        <v>2</v>
      </c>
      <c r="DY34">
        <v>69</v>
      </c>
      <c r="DZ34">
        <v>9.0909090909090912E-2</v>
      </c>
      <c r="EA34">
        <v>0.1038961038961039</v>
      </c>
      <c r="EB34">
        <v>9</v>
      </c>
      <c r="EC34">
        <v>112</v>
      </c>
      <c r="ED34">
        <v>0.53535353535353536</v>
      </c>
      <c r="EE34">
        <v>0.44434137291280146</v>
      </c>
      <c r="EF34">
        <v>53</v>
      </c>
      <c r="EG34">
        <v>479</v>
      </c>
      <c r="EH34">
        <v>4.0404040404040331E-2</v>
      </c>
      <c r="EI34">
        <v>7.4211502782931316E-2</v>
      </c>
      <c r="EJ34">
        <v>3.9999999999999929</v>
      </c>
      <c r="EK34">
        <v>79.999999999999957</v>
      </c>
      <c r="EL34">
        <v>0</v>
      </c>
      <c r="EM34">
        <v>9.5547309833024119E-2</v>
      </c>
      <c r="EN34">
        <v>0</v>
      </c>
      <c r="EO34">
        <v>103</v>
      </c>
      <c r="EP34">
        <v>0</v>
      </c>
      <c r="EQ34">
        <v>8.1632653061224483E-2</v>
      </c>
      <c r="ER34">
        <v>0</v>
      </c>
      <c r="ES34">
        <v>88</v>
      </c>
      <c r="ET34">
        <v>3.0303030303030304E-2</v>
      </c>
      <c r="EU34">
        <v>0.50371057513914652</v>
      </c>
      <c r="EV34">
        <v>3</v>
      </c>
      <c r="EW34">
        <v>543</v>
      </c>
      <c r="EX34">
        <v>0</v>
      </c>
      <c r="EY34">
        <v>4.6382189239332093E-2</v>
      </c>
      <c r="EZ34">
        <v>0</v>
      </c>
      <c r="FA34">
        <v>50</v>
      </c>
      <c r="FB34">
        <v>0</v>
      </c>
      <c r="FC34">
        <v>6.5862708719851573E-2</v>
      </c>
      <c r="FD34">
        <v>0</v>
      </c>
      <c r="FE34">
        <v>71</v>
      </c>
      <c r="FF34">
        <v>0.92929292929292928</v>
      </c>
      <c r="FG34">
        <v>0.14935064935064934</v>
      </c>
      <c r="FH34">
        <v>92</v>
      </c>
      <c r="FI34">
        <v>161</v>
      </c>
      <c r="FJ34">
        <v>4.0404040404040407E-2</v>
      </c>
      <c r="FK34">
        <v>5.7513914656771803E-2</v>
      </c>
      <c r="FL34">
        <v>4</v>
      </c>
      <c r="FM34">
        <v>62</v>
      </c>
      <c r="FN34">
        <v>28</v>
      </c>
      <c r="FO34">
        <v>254</v>
      </c>
      <c r="FP34">
        <v>28</v>
      </c>
      <c r="FQ34">
        <v>254</v>
      </c>
      <c r="FR34">
        <v>0</v>
      </c>
      <c r="FS34">
        <v>7.874015748031496E-2</v>
      </c>
      <c r="FT34">
        <v>0</v>
      </c>
      <c r="FU34">
        <v>20</v>
      </c>
      <c r="FV34">
        <v>0</v>
      </c>
      <c r="FW34">
        <v>0</v>
      </c>
      <c r="FX34">
        <v>0</v>
      </c>
      <c r="FY34">
        <v>0</v>
      </c>
      <c r="FZ34">
        <v>7.1428571428571425E-2</v>
      </c>
      <c r="GA34">
        <v>0.48031496062992124</v>
      </c>
      <c r="GB34">
        <v>2</v>
      </c>
      <c r="GC34">
        <v>122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5.1181102362204724E-2</v>
      </c>
      <c r="GJ34">
        <v>0</v>
      </c>
      <c r="GK34">
        <v>13</v>
      </c>
      <c r="GL34">
        <v>0.8214285714285714</v>
      </c>
      <c r="GM34">
        <v>0.29527559055118108</v>
      </c>
      <c r="GN34">
        <v>23</v>
      </c>
      <c r="GO34">
        <v>75</v>
      </c>
      <c r="GP34">
        <v>0.10714285714285714</v>
      </c>
      <c r="GQ34">
        <v>9.4488188976377951E-2</v>
      </c>
      <c r="GR34">
        <v>3</v>
      </c>
      <c r="GS34">
        <v>24</v>
      </c>
      <c r="GT34">
        <v>8.0808080808080815E-2</v>
      </c>
      <c r="GU34">
        <v>3.7105751391465679E-2</v>
      </c>
      <c r="GV34">
        <v>8</v>
      </c>
      <c r="GW34">
        <v>40</v>
      </c>
      <c r="GX34">
        <v>0.10101010101010101</v>
      </c>
      <c r="GY34">
        <v>7.2356215213358069E-2</v>
      </c>
      <c r="GZ34">
        <v>10</v>
      </c>
      <c r="HA34">
        <v>78</v>
      </c>
      <c r="HB34">
        <v>0</v>
      </c>
      <c r="HC34">
        <v>9.2764378478664194E-4</v>
      </c>
      <c r="HD34">
        <v>0</v>
      </c>
      <c r="HE34">
        <v>1</v>
      </c>
      <c r="HF34">
        <v>0</v>
      </c>
      <c r="HG34">
        <v>9.2764378478664194E-4</v>
      </c>
      <c r="HH34">
        <v>0</v>
      </c>
      <c r="HI34">
        <v>1</v>
      </c>
      <c r="HJ34">
        <v>0</v>
      </c>
      <c r="HK34">
        <v>0</v>
      </c>
      <c r="HL34">
        <v>0</v>
      </c>
      <c r="HM34">
        <v>0</v>
      </c>
      <c r="HN34">
        <v>0</v>
      </c>
      <c r="HO34">
        <v>0</v>
      </c>
      <c r="HP34">
        <v>0</v>
      </c>
      <c r="HQ34">
        <v>0</v>
      </c>
      <c r="HR34">
        <v>0.73737373737373735</v>
      </c>
      <c r="HS34">
        <v>0.81168831168831168</v>
      </c>
      <c r="HT34">
        <v>73</v>
      </c>
      <c r="HU34">
        <v>875</v>
      </c>
      <c r="HV34">
        <v>8.0808080808080815E-2</v>
      </c>
      <c r="HW34">
        <v>7.6994434137291276E-2</v>
      </c>
      <c r="HX34">
        <v>8</v>
      </c>
      <c r="HY34">
        <v>83</v>
      </c>
      <c r="HZ34">
        <v>0.44</v>
      </c>
      <c r="IA34">
        <v>0.4921875</v>
      </c>
      <c r="IB34">
        <v>22</v>
      </c>
      <c r="IC34">
        <v>189</v>
      </c>
      <c r="ID34">
        <v>0.08</v>
      </c>
      <c r="IE34">
        <v>0.16927083333333334</v>
      </c>
      <c r="IF34">
        <v>4</v>
      </c>
      <c r="IG34">
        <v>65</v>
      </c>
      <c r="IH34">
        <v>0.12</v>
      </c>
      <c r="II34">
        <v>5.46875E-2</v>
      </c>
      <c r="IJ34">
        <v>6</v>
      </c>
      <c r="IK34">
        <v>21</v>
      </c>
      <c r="IL34">
        <v>0</v>
      </c>
      <c r="IM34">
        <v>4.9479166666666664E-2</v>
      </c>
      <c r="IN34">
        <v>0</v>
      </c>
      <c r="IO34">
        <v>19</v>
      </c>
      <c r="IP34">
        <v>0.36</v>
      </c>
      <c r="IQ34">
        <v>0.234375</v>
      </c>
      <c r="IR34">
        <v>18</v>
      </c>
      <c r="IS34">
        <v>90</v>
      </c>
      <c r="IT34">
        <v>62.90625</v>
      </c>
      <c r="IU34">
        <v>73.793893129770993</v>
      </c>
      <c r="IV34">
        <v>0.53125</v>
      </c>
      <c r="IW34">
        <v>0.58778625954198471</v>
      </c>
      <c r="IX34">
        <v>17</v>
      </c>
      <c r="IY34">
        <v>154</v>
      </c>
      <c r="IZ34">
        <v>6.25E-2</v>
      </c>
      <c r="JA34">
        <v>0.14503816793893129</v>
      </c>
      <c r="JB34">
        <v>2</v>
      </c>
      <c r="JC34">
        <v>38</v>
      </c>
      <c r="JD34">
        <v>0.15625</v>
      </c>
      <c r="JE34">
        <v>5.7251908396946563E-2</v>
      </c>
      <c r="JF34">
        <v>5</v>
      </c>
      <c r="JG34">
        <v>15</v>
      </c>
      <c r="JH34">
        <v>0</v>
      </c>
      <c r="JI34">
        <v>3.8167938931297711E-2</v>
      </c>
      <c r="JJ34">
        <v>0</v>
      </c>
      <c r="JK34">
        <v>10</v>
      </c>
      <c r="JL34">
        <v>0.25</v>
      </c>
      <c r="JM34">
        <v>0.1717557251908397</v>
      </c>
      <c r="JN34">
        <v>8</v>
      </c>
      <c r="JO34">
        <v>45</v>
      </c>
      <c r="JP34">
        <v>0</v>
      </c>
      <c r="JQ34">
        <v>5.6338028169014086E-2</v>
      </c>
      <c r="JR34">
        <v>0</v>
      </c>
      <c r="JS34">
        <v>4</v>
      </c>
      <c r="JT34">
        <v>1</v>
      </c>
      <c r="JU34">
        <v>0.647887323943662</v>
      </c>
      <c r="JV34">
        <v>1</v>
      </c>
      <c r="JW34">
        <v>46</v>
      </c>
      <c r="JX34">
        <v>0</v>
      </c>
      <c r="JY34">
        <v>0.12676056338028169</v>
      </c>
      <c r="JZ34">
        <v>0</v>
      </c>
      <c r="KA34">
        <v>9</v>
      </c>
      <c r="KB34">
        <v>0</v>
      </c>
      <c r="KC34">
        <v>7.0422535211267609E-2</v>
      </c>
      <c r="KD34">
        <v>0</v>
      </c>
      <c r="KE34">
        <v>5</v>
      </c>
      <c r="KF34">
        <v>0</v>
      </c>
      <c r="KG34">
        <v>9.8591549295774628E-2</v>
      </c>
      <c r="KH34">
        <v>0</v>
      </c>
      <c r="KI34">
        <v>7</v>
      </c>
      <c r="KJ34">
        <v>0</v>
      </c>
      <c r="KK34">
        <v>0.21126760563380281</v>
      </c>
      <c r="KL34">
        <v>0</v>
      </c>
      <c r="KM34">
        <v>15</v>
      </c>
      <c r="KN34">
        <v>0</v>
      </c>
      <c r="KO34">
        <v>0.14084507042253522</v>
      </c>
      <c r="KP34">
        <v>0</v>
      </c>
      <c r="KQ34">
        <v>10</v>
      </c>
      <c r="KR34">
        <v>0</v>
      </c>
      <c r="KS34">
        <v>0.19718309859154928</v>
      </c>
      <c r="KT34">
        <v>0</v>
      </c>
      <c r="KU34">
        <v>14</v>
      </c>
      <c r="KV34">
        <v>0</v>
      </c>
      <c r="KW34">
        <v>5.6338028169014086E-2</v>
      </c>
      <c r="KX34">
        <v>0</v>
      </c>
      <c r="KY34">
        <v>4</v>
      </c>
      <c r="KZ34">
        <v>1</v>
      </c>
      <c r="LA34">
        <v>0.39436619718309862</v>
      </c>
      <c r="LB34">
        <v>1</v>
      </c>
      <c r="LC34">
        <v>28</v>
      </c>
      <c r="LD34">
        <v>0.39393939393939392</v>
      </c>
      <c r="LE34">
        <v>0.37373737373737376</v>
      </c>
      <c r="LF34">
        <v>0</v>
      </c>
      <c r="LG34">
        <v>2.0202020202020166E-2</v>
      </c>
      <c r="LH34">
        <v>0.41651205936920221</v>
      </c>
      <c r="LI34">
        <v>0.3784786641929499</v>
      </c>
      <c r="LJ34">
        <v>1.1131725417439703E-2</v>
      </c>
      <c r="LK34">
        <v>2.6901669758812585E-2</v>
      </c>
    </row>
    <row r="35" spans="1:323" x14ac:dyDescent="0.25">
      <c r="A35" t="s">
        <v>16</v>
      </c>
      <c r="B35" t="s">
        <v>59</v>
      </c>
      <c r="C35" t="s">
        <v>185</v>
      </c>
      <c r="D35">
        <v>8.2644628099173556E-3</v>
      </c>
      <c r="E35">
        <v>4.1322314049586778E-2</v>
      </c>
      <c r="F35">
        <v>0.21487603305785125</v>
      </c>
      <c r="G35">
        <v>0.40909090909090912</v>
      </c>
      <c r="H35">
        <v>0.32644628099173556</v>
      </c>
      <c r="I35">
        <v>1.1579818031430935E-2</v>
      </c>
      <c r="J35">
        <v>6.1621174524400329E-2</v>
      </c>
      <c r="K35">
        <v>0.21464019851116625</v>
      </c>
      <c r="L35">
        <v>0.44582299421009097</v>
      </c>
      <c r="M35">
        <v>0.26633581472291151</v>
      </c>
      <c r="N35">
        <v>0.68354430379746833</v>
      </c>
      <c r="O35">
        <v>0.31645569620253167</v>
      </c>
      <c r="P35">
        <v>0.7003105590062112</v>
      </c>
      <c r="Q35">
        <v>0.2996894409937888</v>
      </c>
      <c r="R35">
        <v>79</v>
      </c>
      <c r="S35">
        <v>80.924050632911388</v>
      </c>
      <c r="T35">
        <v>14</v>
      </c>
      <c r="U35">
        <v>6.7341772151898738</v>
      </c>
      <c r="V35">
        <v>3.0632911392405062</v>
      </c>
      <c r="W35">
        <v>17.139240506329113</v>
      </c>
      <c r="X35">
        <v>644</v>
      </c>
      <c r="Y35">
        <v>80.83229813664596</v>
      </c>
      <c r="Z35">
        <v>136</v>
      </c>
      <c r="AA35">
        <v>6.2204968944099379</v>
      </c>
      <c r="AB35">
        <v>3.0077639751552794</v>
      </c>
      <c r="AC35">
        <v>25.451863354037268</v>
      </c>
      <c r="AD35">
        <v>0.91946308724832215</v>
      </c>
      <c r="AE35">
        <v>0.68690095846645371</v>
      </c>
      <c r="AF35">
        <v>274</v>
      </c>
      <c r="AG35">
        <v>1505</v>
      </c>
      <c r="AH35">
        <v>0</v>
      </c>
      <c r="AI35">
        <v>0.25011410314924692</v>
      </c>
      <c r="AJ35">
        <v>0</v>
      </c>
      <c r="AK35">
        <v>548</v>
      </c>
      <c r="AL35">
        <v>3.0201342281879196E-2</v>
      </c>
      <c r="AM35">
        <v>2.4189867640346873E-2</v>
      </c>
      <c r="AN35">
        <v>9</v>
      </c>
      <c r="AO35">
        <v>53</v>
      </c>
      <c r="AP35">
        <v>5.0335570469798654E-2</v>
      </c>
      <c r="AQ35">
        <v>3.8795070743952532E-2</v>
      </c>
      <c r="AR35">
        <v>15</v>
      </c>
      <c r="AS35">
        <v>85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0.46835443037974683</v>
      </c>
      <c r="BC35">
        <v>16.430379746835442</v>
      </c>
      <c r="BD35">
        <v>3.7974683544303799E-2</v>
      </c>
      <c r="BE35">
        <v>1.2531645569620253</v>
      </c>
      <c r="BF35">
        <v>2.5316455696202531E-2</v>
      </c>
      <c r="BG35" s="116" t="s">
        <v>187</v>
      </c>
      <c r="BH35">
        <v>0.34937888198757766</v>
      </c>
      <c r="BI35">
        <v>8.9145962732919255</v>
      </c>
      <c r="BJ35">
        <v>6.8322981366459631E-2</v>
      </c>
      <c r="BK35">
        <v>2.4798136645962732</v>
      </c>
      <c r="BL35">
        <v>4.658385093167702E-3</v>
      </c>
      <c r="BM35">
        <v>0.12111801242236025</v>
      </c>
      <c r="BN35">
        <v>6.1983471074380167E-2</v>
      </c>
      <c r="BO35">
        <v>9.2927207021166747E-2</v>
      </c>
      <c r="BP35">
        <v>15</v>
      </c>
      <c r="BQ35">
        <v>180</v>
      </c>
      <c r="BR35">
        <v>0.26859504132231404</v>
      </c>
      <c r="BS35">
        <v>0.27826535880227155</v>
      </c>
      <c r="BT35">
        <v>65</v>
      </c>
      <c r="BU35">
        <v>539</v>
      </c>
      <c r="BV35">
        <v>0.13636363636363635</v>
      </c>
      <c r="BW35">
        <v>7.7955601445534331E-2</v>
      </c>
      <c r="BX35">
        <v>33</v>
      </c>
      <c r="BY35">
        <v>151</v>
      </c>
      <c r="BZ35">
        <v>7.8512396694214878E-2</v>
      </c>
      <c r="CA35">
        <v>4.4914816726897261E-2</v>
      </c>
      <c r="CB35">
        <v>19</v>
      </c>
      <c r="CC35">
        <v>87</v>
      </c>
      <c r="CD35">
        <v>5.3719008264462811E-2</v>
      </c>
      <c r="CE35">
        <v>4.2849767681982447E-2</v>
      </c>
      <c r="CF35">
        <v>13</v>
      </c>
      <c r="CG35">
        <v>83</v>
      </c>
      <c r="CH35">
        <v>4.5454545454545456E-2</v>
      </c>
      <c r="CI35">
        <v>3.4589571502323183E-2</v>
      </c>
      <c r="CJ35">
        <v>11</v>
      </c>
      <c r="CK35">
        <v>67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3.7170882808466699E-2</v>
      </c>
      <c r="CR35">
        <v>0</v>
      </c>
      <c r="CS35">
        <v>72</v>
      </c>
      <c r="CT35">
        <v>5.7851239669421489E-2</v>
      </c>
      <c r="CU35">
        <v>5.7305110996386167E-2</v>
      </c>
      <c r="CV35">
        <v>14</v>
      </c>
      <c r="CW35">
        <v>111</v>
      </c>
      <c r="CX35">
        <v>0.28512396694214875</v>
      </c>
      <c r="CY35">
        <v>0.31078988125967993</v>
      </c>
      <c r="CZ35">
        <v>69</v>
      </c>
      <c r="DA35">
        <v>602</v>
      </c>
      <c r="DB35">
        <v>1.2396694214876103E-2</v>
      </c>
      <c r="DC35">
        <v>2.3231801755291714E-2</v>
      </c>
      <c r="DD35">
        <v>3.0000000000000169</v>
      </c>
      <c r="DE35">
        <v>36.000000000000199</v>
      </c>
      <c r="DF35">
        <v>6.3291139240506333E-2</v>
      </c>
      <c r="DG35">
        <v>6.9875776397515521E-2</v>
      </c>
      <c r="DH35">
        <v>5</v>
      </c>
      <c r="DI35">
        <v>45</v>
      </c>
      <c r="DJ35">
        <v>0</v>
      </c>
      <c r="DK35">
        <v>2.4844720496894408E-2</v>
      </c>
      <c r="DL35">
        <v>0</v>
      </c>
      <c r="DM35">
        <v>16</v>
      </c>
      <c r="DN35">
        <v>0.12658227848101267</v>
      </c>
      <c r="DO35">
        <v>9.3167701863354033E-2</v>
      </c>
      <c r="DP35">
        <v>10</v>
      </c>
      <c r="DQ35">
        <v>60</v>
      </c>
      <c r="DR35">
        <v>7.5949367088607597E-2</v>
      </c>
      <c r="DS35">
        <v>5.5900621118012424E-2</v>
      </c>
      <c r="DT35">
        <v>6</v>
      </c>
      <c r="DU35">
        <v>36</v>
      </c>
      <c r="DV35">
        <v>2.5316455696202531E-2</v>
      </c>
      <c r="DW35">
        <v>3.1055900621118012E-2</v>
      </c>
      <c r="DX35">
        <v>2</v>
      </c>
      <c r="DY35">
        <v>20</v>
      </c>
      <c r="DZ35">
        <v>5.0632911392405063E-2</v>
      </c>
      <c r="EA35">
        <v>7.2981366459627328E-2</v>
      </c>
      <c r="EB35">
        <v>4</v>
      </c>
      <c r="EC35">
        <v>47</v>
      </c>
      <c r="ED35">
        <v>0.63291139240506333</v>
      </c>
      <c r="EE35">
        <v>0.59472049689440998</v>
      </c>
      <c r="EF35">
        <v>50</v>
      </c>
      <c r="EG35">
        <v>383</v>
      </c>
      <c r="EH35">
        <v>2.5316455696202445E-2</v>
      </c>
      <c r="EI35">
        <v>5.7453416149068293E-2</v>
      </c>
      <c r="EJ35">
        <v>1.9999999999999929</v>
      </c>
      <c r="EK35">
        <v>36.999999999999986</v>
      </c>
      <c r="EL35">
        <v>0</v>
      </c>
      <c r="EM35">
        <v>0.11801242236024845</v>
      </c>
      <c r="EN35">
        <v>0</v>
      </c>
      <c r="EO35">
        <v>76</v>
      </c>
      <c r="EP35">
        <v>0</v>
      </c>
      <c r="EQ35">
        <v>7.1428571428571425E-2</v>
      </c>
      <c r="ER35">
        <v>0</v>
      </c>
      <c r="ES35">
        <v>46</v>
      </c>
      <c r="ET35">
        <v>0</v>
      </c>
      <c r="EU35">
        <v>0.41770186335403725</v>
      </c>
      <c r="EV35">
        <v>0</v>
      </c>
      <c r="EW35">
        <v>269</v>
      </c>
      <c r="EX35">
        <v>0</v>
      </c>
      <c r="EY35">
        <v>5.434782608695652E-2</v>
      </c>
      <c r="EZ35">
        <v>0</v>
      </c>
      <c r="FA35">
        <v>35</v>
      </c>
      <c r="FB35">
        <v>0</v>
      </c>
      <c r="FC35">
        <v>0.10869565217391304</v>
      </c>
      <c r="FD35">
        <v>0</v>
      </c>
      <c r="FE35">
        <v>70</v>
      </c>
      <c r="FF35">
        <v>0.98734177215189878</v>
      </c>
      <c r="FG35">
        <v>0.18012422360248448</v>
      </c>
      <c r="FH35">
        <v>78</v>
      </c>
      <c r="FI35">
        <v>116</v>
      </c>
      <c r="FJ35">
        <v>1.2658227848101266E-2</v>
      </c>
      <c r="FK35">
        <v>4.9689440993788817E-2</v>
      </c>
      <c r="FL35">
        <v>1</v>
      </c>
      <c r="FM35">
        <v>32</v>
      </c>
      <c r="FN35">
        <v>13</v>
      </c>
      <c r="FO35">
        <v>83</v>
      </c>
      <c r="FP35">
        <v>13</v>
      </c>
      <c r="FQ35">
        <v>83</v>
      </c>
      <c r="FR35">
        <v>0</v>
      </c>
      <c r="FS35">
        <v>0.13253012048192772</v>
      </c>
      <c r="FT35">
        <v>0</v>
      </c>
      <c r="FU35">
        <v>11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0.31325301204819278</v>
      </c>
      <c r="GB35">
        <v>0</v>
      </c>
      <c r="GC35">
        <v>26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0.13253012048192772</v>
      </c>
      <c r="GJ35">
        <v>0</v>
      </c>
      <c r="GK35">
        <v>11</v>
      </c>
      <c r="GL35">
        <v>1</v>
      </c>
      <c r="GM35">
        <v>0.3253012048192771</v>
      </c>
      <c r="GN35">
        <v>13</v>
      </c>
      <c r="GO35">
        <v>27</v>
      </c>
      <c r="GP35">
        <v>0</v>
      </c>
      <c r="GQ35">
        <v>9.6385542168674704E-2</v>
      </c>
      <c r="GR35">
        <v>0</v>
      </c>
      <c r="GS35">
        <v>8</v>
      </c>
      <c r="GT35">
        <v>3.7974683544303799E-2</v>
      </c>
      <c r="GU35">
        <v>4.9689440993788817E-2</v>
      </c>
      <c r="GV35">
        <v>3</v>
      </c>
      <c r="GW35">
        <v>32</v>
      </c>
      <c r="GX35">
        <v>0.12658227848101267</v>
      </c>
      <c r="GY35">
        <v>8.2298136645962736E-2</v>
      </c>
      <c r="GZ35">
        <v>10</v>
      </c>
      <c r="HA35">
        <v>53</v>
      </c>
      <c r="HB35">
        <v>0</v>
      </c>
      <c r="HC35">
        <v>1.5527950310559005E-3</v>
      </c>
      <c r="HD35">
        <v>0</v>
      </c>
      <c r="HE35">
        <v>1</v>
      </c>
      <c r="HF35">
        <v>0</v>
      </c>
      <c r="HG35">
        <v>0</v>
      </c>
      <c r="HH35">
        <v>0</v>
      </c>
      <c r="HI35">
        <v>0</v>
      </c>
      <c r="HJ35">
        <v>0</v>
      </c>
      <c r="HK35">
        <v>0</v>
      </c>
      <c r="HL35">
        <v>0</v>
      </c>
      <c r="HM35">
        <v>0</v>
      </c>
      <c r="HN35">
        <v>0</v>
      </c>
      <c r="HO35">
        <v>0</v>
      </c>
      <c r="HP35">
        <v>0</v>
      </c>
      <c r="HQ35">
        <v>0</v>
      </c>
      <c r="HR35">
        <v>0.72151898734177211</v>
      </c>
      <c r="HS35">
        <v>0.72981366459627328</v>
      </c>
      <c r="HT35">
        <v>57</v>
      </c>
      <c r="HU35">
        <v>470</v>
      </c>
      <c r="HV35">
        <v>0.11392405063291139</v>
      </c>
      <c r="HW35">
        <v>0.13664596273291926</v>
      </c>
      <c r="HX35">
        <v>9</v>
      </c>
      <c r="HY35">
        <v>88</v>
      </c>
      <c r="HZ35">
        <v>0.38095238095238093</v>
      </c>
      <c r="IA35">
        <v>0.32773109243697479</v>
      </c>
      <c r="IB35">
        <v>16</v>
      </c>
      <c r="IC35">
        <v>78</v>
      </c>
      <c r="ID35">
        <v>0.23809523809523808</v>
      </c>
      <c r="IE35">
        <v>0.32773109243697479</v>
      </c>
      <c r="IF35">
        <v>10</v>
      </c>
      <c r="IG35">
        <v>78</v>
      </c>
      <c r="IH35">
        <v>9.5238095238095233E-2</v>
      </c>
      <c r="II35">
        <v>7.9831932773109238E-2</v>
      </c>
      <c r="IJ35">
        <v>4</v>
      </c>
      <c r="IK35">
        <v>19</v>
      </c>
      <c r="IL35">
        <v>2.3809523809523808E-2</v>
      </c>
      <c r="IM35">
        <v>2.5210084033613446E-2</v>
      </c>
      <c r="IN35">
        <v>1</v>
      </c>
      <c r="IO35">
        <v>6</v>
      </c>
      <c r="IP35">
        <v>0.26190476190476192</v>
      </c>
      <c r="IQ35">
        <v>0.23949579831932774</v>
      </c>
      <c r="IR35">
        <v>11</v>
      </c>
      <c r="IS35">
        <v>57</v>
      </c>
      <c r="IT35">
        <v>74.884615384615387</v>
      </c>
      <c r="IU35">
        <v>77.970059880239518</v>
      </c>
      <c r="IV35">
        <v>0.5</v>
      </c>
      <c r="IW35">
        <v>0.3652694610778443</v>
      </c>
      <c r="IX35">
        <v>13</v>
      </c>
      <c r="IY35">
        <v>61</v>
      </c>
      <c r="IZ35">
        <v>0.23076923076923078</v>
      </c>
      <c r="JA35">
        <v>0.33532934131736525</v>
      </c>
      <c r="JB35">
        <v>6</v>
      </c>
      <c r="JC35">
        <v>56</v>
      </c>
      <c r="JD35">
        <v>7.6923076923076927E-2</v>
      </c>
      <c r="JE35">
        <v>4.790419161676647E-2</v>
      </c>
      <c r="JF35">
        <v>2</v>
      </c>
      <c r="JG35">
        <v>8</v>
      </c>
      <c r="JH35">
        <v>0</v>
      </c>
      <c r="JI35">
        <v>2.9940119760479042E-2</v>
      </c>
      <c r="JJ35">
        <v>0</v>
      </c>
      <c r="JK35">
        <v>5</v>
      </c>
      <c r="JL35">
        <v>0.19230769230769232</v>
      </c>
      <c r="JM35">
        <v>0.22155688622754491</v>
      </c>
      <c r="JN35">
        <v>5</v>
      </c>
      <c r="JO35">
        <v>37</v>
      </c>
      <c r="JP35">
        <v>0</v>
      </c>
      <c r="JQ35">
        <v>2.2727272727272728E-2</v>
      </c>
      <c r="JR35">
        <v>0</v>
      </c>
      <c r="JS35">
        <v>1</v>
      </c>
      <c r="JT35">
        <v>0.66666666666666663</v>
      </c>
      <c r="JU35">
        <v>0.75</v>
      </c>
      <c r="JV35">
        <v>2</v>
      </c>
      <c r="JW35">
        <v>33</v>
      </c>
      <c r="JX35">
        <v>0</v>
      </c>
      <c r="JY35">
        <v>4.5454545454545456E-2</v>
      </c>
      <c r="JZ35">
        <v>0</v>
      </c>
      <c r="KA35">
        <v>2</v>
      </c>
      <c r="KB35">
        <v>0</v>
      </c>
      <c r="KC35">
        <v>0</v>
      </c>
      <c r="KD35">
        <v>0</v>
      </c>
      <c r="KE35">
        <v>0</v>
      </c>
      <c r="KF35">
        <v>0.33333333333333337</v>
      </c>
      <c r="KG35">
        <v>0.18181818181818188</v>
      </c>
      <c r="KH35">
        <v>1</v>
      </c>
      <c r="KI35">
        <v>8</v>
      </c>
      <c r="KJ35">
        <v>0</v>
      </c>
      <c r="KK35">
        <v>4.5454545454545456E-2</v>
      </c>
      <c r="KL35">
        <v>0</v>
      </c>
      <c r="KM35">
        <v>2</v>
      </c>
      <c r="KN35">
        <v>0</v>
      </c>
      <c r="KO35">
        <v>0.13636363636363635</v>
      </c>
      <c r="KP35">
        <v>0</v>
      </c>
      <c r="KQ35">
        <v>6</v>
      </c>
      <c r="KR35">
        <v>0.33333333333333331</v>
      </c>
      <c r="KS35">
        <v>9.0909090909090912E-2</v>
      </c>
      <c r="KT35">
        <v>1</v>
      </c>
      <c r="KU35">
        <v>4</v>
      </c>
      <c r="KV35">
        <v>0</v>
      </c>
      <c r="KW35">
        <v>9.0909090909090912E-2</v>
      </c>
      <c r="KX35">
        <v>0</v>
      </c>
      <c r="KY35">
        <v>4</v>
      </c>
      <c r="KZ35">
        <v>0.66666666666666674</v>
      </c>
      <c r="LA35">
        <v>0.63636363636363635</v>
      </c>
      <c r="LB35">
        <v>2</v>
      </c>
      <c r="LC35">
        <v>28</v>
      </c>
      <c r="LD35">
        <v>0.50632911392405067</v>
      </c>
      <c r="LE35">
        <v>0.379746835443038</v>
      </c>
      <c r="LF35">
        <v>1.2658227848101266E-2</v>
      </c>
      <c r="LG35">
        <v>0.11392405063291139</v>
      </c>
      <c r="LH35">
        <v>0.53881987577639756</v>
      </c>
      <c r="LI35">
        <v>0.44720496894409939</v>
      </c>
      <c r="LJ35">
        <v>2.0186335403726708E-2</v>
      </c>
      <c r="LK35">
        <v>7.1428571428571452E-2</v>
      </c>
    </row>
    <row r="36" spans="1:323" x14ac:dyDescent="0.25">
      <c r="A36" t="s">
        <v>16</v>
      </c>
      <c r="B36" t="s">
        <v>96</v>
      </c>
      <c r="C36" t="s">
        <v>186</v>
      </c>
      <c r="D36">
        <v>8.2644628099173556E-3</v>
      </c>
      <c r="E36">
        <v>4.1322314049586778E-2</v>
      </c>
      <c r="F36">
        <v>0.21487603305785125</v>
      </c>
      <c r="G36">
        <v>0.40909090909090912</v>
      </c>
      <c r="H36">
        <v>0.32644628099173556</v>
      </c>
      <c r="I36">
        <v>1.1579818031430935E-2</v>
      </c>
      <c r="J36">
        <v>6.1621174524400329E-2</v>
      </c>
      <c r="K36">
        <v>0.21464019851116625</v>
      </c>
      <c r="L36">
        <v>0.44582299421009097</v>
      </c>
      <c r="M36">
        <v>0.26633581472291151</v>
      </c>
      <c r="N36">
        <v>0.69008264462809921</v>
      </c>
      <c r="O36">
        <v>0.30991735537190079</v>
      </c>
      <c r="P36">
        <v>0.70471464019851116</v>
      </c>
      <c r="Q36">
        <v>0.29528535980148884</v>
      </c>
      <c r="R36">
        <v>242</v>
      </c>
      <c r="S36">
        <v>67.752066115702476</v>
      </c>
      <c r="T36">
        <v>30</v>
      </c>
      <c r="U36">
        <v>7.9834710743801649</v>
      </c>
      <c r="V36">
        <v>3.7603305785123968</v>
      </c>
      <c r="W36">
        <v>19.768595041322314</v>
      </c>
      <c r="X36">
        <v>2418</v>
      </c>
      <c r="Y36">
        <v>66.236559139784944</v>
      </c>
      <c r="Z36">
        <v>308</v>
      </c>
      <c r="AA36">
        <v>10.480562448304385</v>
      </c>
      <c r="AB36">
        <v>3.9582299421009099</v>
      </c>
      <c r="AC36">
        <v>32.586848635235732</v>
      </c>
      <c r="AD36">
        <v>0.94814090019569475</v>
      </c>
      <c r="AE36">
        <v>0.57145574435708846</v>
      </c>
      <c r="AF36">
        <v>969</v>
      </c>
      <c r="AG36">
        <v>9013</v>
      </c>
      <c r="AH36">
        <v>1.4677103718199608E-2</v>
      </c>
      <c r="AI36">
        <v>0.40077352269845296</v>
      </c>
      <c r="AJ36">
        <v>15</v>
      </c>
      <c r="AK36">
        <v>6321</v>
      </c>
      <c r="AL36">
        <v>2.2504892367906065E-2</v>
      </c>
      <c r="AM36">
        <v>1.8133400963733198E-2</v>
      </c>
      <c r="AN36">
        <v>23</v>
      </c>
      <c r="AO36">
        <v>286</v>
      </c>
      <c r="AP36">
        <v>1.4677103718199608E-2</v>
      </c>
      <c r="AQ36">
        <v>7.101191985797616E-3</v>
      </c>
      <c r="AR36">
        <v>15</v>
      </c>
      <c r="AS36">
        <v>112</v>
      </c>
      <c r="AT36">
        <v>0</v>
      </c>
      <c r="AU36">
        <v>2.4093329951813342E-3</v>
      </c>
      <c r="AV36">
        <v>0</v>
      </c>
      <c r="AW36">
        <v>38</v>
      </c>
      <c r="AX36">
        <v>0</v>
      </c>
      <c r="AY36">
        <v>6.3403499873192998E-5</v>
      </c>
      <c r="AZ36">
        <v>0</v>
      </c>
      <c r="BA36">
        <v>1</v>
      </c>
      <c r="BB36">
        <v>0.48347107438016529</v>
      </c>
      <c r="BC36">
        <v>17.958677685950413</v>
      </c>
      <c r="BD36">
        <v>4.1322314049586778E-2</v>
      </c>
      <c r="BE36">
        <v>0.72727272727272729</v>
      </c>
      <c r="BF36">
        <v>2.8925619834710745E-2</v>
      </c>
      <c r="BG36">
        <v>0.50413223140495866</v>
      </c>
      <c r="BH36">
        <v>0.33457402812241521</v>
      </c>
      <c r="BI36">
        <v>8.0897435897435894</v>
      </c>
      <c r="BJ36">
        <v>6.3275434243176179E-2</v>
      </c>
      <c r="BK36">
        <v>1.6683209263854426</v>
      </c>
      <c r="BL36">
        <v>6.2034739454094297E-3</v>
      </c>
      <c r="BM36">
        <v>0.13399503722084366</v>
      </c>
      <c r="BN36">
        <v>0.21758241758241759</v>
      </c>
      <c r="BO36">
        <v>0.20071047957371227</v>
      </c>
      <c r="BP36">
        <v>198</v>
      </c>
      <c r="BQ36">
        <v>1921</v>
      </c>
      <c r="BR36">
        <v>0.20549450549450549</v>
      </c>
      <c r="BS36">
        <v>0.19276982551457528</v>
      </c>
      <c r="BT36">
        <v>187</v>
      </c>
      <c r="BU36">
        <v>1845</v>
      </c>
      <c r="BV36">
        <v>0.1</v>
      </c>
      <c r="BW36">
        <v>6.0913175216800751E-2</v>
      </c>
      <c r="BX36">
        <v>91</v>
      </c>
      <c r="BY36">
        <v>583</v>
      </c>
      <c r="BZ36">
        <v>6.5934065934065936E-2</v>
      </c>
      <c r="CA36">
        <v>5.9136976282520112E-2</v>
      </c>
      <c r="CB36">
        <v>60</v>
      </c>
      <c r="CC36">
        <v>566</v>
      </c>
      <c r="CD36">
        <v>6.3736263736263732E-2</v>
      </c>
      <c r="CE36">
        <v>5.1718733674642151E-2</v>
      </c>
      <c r="CF36">
        <v>58</v>
      </c>
      <c r="CG36">
        <v>495</v>
      </c>
      <c r="CH36">
        <v>3.7362637362637362E-2</v>
      </c>
      <c r="CI36">
        <v>3.8658447393166859E-2</v>
      </c>
      <c r="CJ36">
        <v>34</v>
      </c>
      <c r="CK36">
        <v>370</v>
      </c>
      <c r="CL36">
        <v>0</v>
      </c>
      <c r="CM36">
        <v>0</v>
      </c>
      <c r="CN36">
        <v>0</v>
      </c>
      <c r="CO36">
        <v>0</v>
      </c>
      <c r="CP36">
        <v>2.1978021978021978E-3</v>
      </c>
      <c r="CQ36">
        <v>3.0404346463274477E-2</v>
      </c>
      <c r="CR36">
        <v>2</v>
      </c>
      <c r="CS36">
        <v>291</v>
      </c>
      <c r="CT36">
        <v>6.1538461538461542E-2</v>
      </c>
      <c r="CU36">
        <v>5.3912861769929994E-2</v>
      </c>
      <c r="CV36">
        <v>56</v>
      </c>
      <c r="CW36">
        <v>516</v>
      </c>
      <c r="CX36">
        <v>0.22307692307692309</v>
      </c>
      <c r="CY36">
        <v>0.28534113467767214</v>
      </c>
      <c r="CZ36">
        <v>203</v>
      </c>
      <c r="DA36">
        <v>2731</v>
      </c>
      <c r="DB36">
        <v>2.3076923076923106E-2</v>
      </c>
      <c r="DC36">
        <v>2.6434019433705824E-2</v>
      </c>
      <c r="DD36">
        <v>21.000000000000028</v>
      </c>
      <c r="DE36">
        <v>203.74242424242448</v>
      </c>
      <c r="DF36">
        <v>8.6776859504132234E-2</v>
      </c>
      <c r="DG36">
        <v>9.553349875930521E-2</v>
      </c>
      <c r="DH36">
        <v>21</v>
      </c>
      <c r="DI36">
        <v>231</v>
      </c>
      <c r="DJ36">
        <v>1.6528925619834711E-2</v>
      </c>
      <c r="DK36">
        <v>4.5078577336641855E-2</v>
      </c>
      <c r="DL36">
        <v>4</v>
      </c>
      <c r="DM36">
        <v>109</v>
      </c>
      <c r="DN36">
        <v>0.11983471074380166</v>
      </c>
      <c r="DO36">
        <v>0.12324234904880066</v>
      </c>
      <c r="DP36">
        <v>29</v>
      </c>
      <c r="DQ36">
        <v>298</v>
      </c>
      <c r="DR36">
        <v>6.1983471074380167E-2</v>
      </c>
      <c r="DS36">
        <v>3.2258064516129031E-2</v>
      </c>
      <c r="DT36">
        <v>15</v>
      </c>
      <c r="DU36">
        <v>78</v>
      </c>
      <c r="DV36">
        <v>5.3719008264462811E-2</v>
      </c>
      <c r="DW36">
        <v>6.7411083540115796E-2</v>
      </c>
      <c r="DX36">
        <v>13</v>
      </c>
      <c r="DY36">
        <v>163</v>
      </c>
      <c r="DZ36">
        <v>6.6115702479338845E-2</v>
      </c>
      <c r="EA36">
        <v>9.3465674110835395E-2</v>
      </c>
      <c r="EB36">
        <v>16</v>
      </c>
      <c r="EC36">
        <v>226</v>
      </c>
      <c r="ED36">
        <v>0.56198347107438018</v>
      </c>
      <c r="EE36">
        <v>0.47435897435897434</v>
      </c>
      <c r="EF36">
        <v>136</v>
      </c>
      <c r="EG36">
        <v>1147</v>
      </c>
      <c r="EH36">
        <v>3.3057851239669422E-2</v>
      </c>
      <c r="EI36">
        <v>6.8651778329197666E-2</v>
      </c>
      <c r="EJ36">
        <v>8</v>
      </c>
      <c r="EK36">
        <v>165.99999999999994</v>
      </c>
      <c r="EL36">
        <v>0</v>
      </c>
      <c r="EM36">
        <v>0.10297766749379653</v>
      </c>
      <c r="EN36">
        <v>0</v>
      </c>
      <c r="EO36">
        <v>249</v>
      </c>
      <c r="EP36">
        <v>0</v>
      </c>
      <c r="EQ36">
        <v>7.6923076923076927E-2</v>
      </c>
      <c r="ER36">
        <v>0</v>
      </c>
      <c r="ES36">
        <v>186</v>
      </c>
      <c r="ET36">
        <v>1.2396694214876033E-2</v>
      </c>
      <c r="EU36">
        <v>0.4813895781637717</v>
      </c>
      <c r="EV36">
        <v>3</v>
      </c>
      <c r="EW36">
        <v>1164</v>
      </c>
      <c r="EX36">
        <v>4.1322314049586778E-3</v>
      </c>
      <c r="EY36">
        <v>4.8800661703887513E-2</v>
      </c>
      <c r="EZ36">
        <v>1</v>
      </c>
      <c r="FA36">
        <v>118</v>
      </c>
      <c r="FB36">
        <v>0</v>
      </c>
      <c r="FC36">
        <v>8.0231596360628613E-2</v>
      </c>
      <c r="FD36">
        <v>0</v>
      </c>
      <c r="FE36">
        <v>194</v>
      </c>
      <c r="FF36">
        <v>0.96280991735537191</v>
      </c>
      <c r="FG36">
        <v>0.16046319272125723</v>
      </c>
      <c r="FH36">
        <v>233</v>
      </c>
      <c r="FI36">
        <v>388</v>
      </c>
      <c r="FJ36">
        <v>2.0661157024793389E-2</v>
      </c>
      <c r="FK36">
        <v>4.9214226633581472E-2</v>
      </c>
      <c r="FL36">
        <v>5</v>
      </c>
      <c r="FM36">
        <v>119</v>
      </c>
      <c r="FN36">
        <v>58</v>
      </c>
      <c r="FO36">
        <v>495</v>
      </c>
      <c r="FP36">
        <v>58</v>
      </c>
      <c r="FQ36">
        <v>495</v>
      </c>
      <c r="FR36">
        <v>0</v>
      </c>
      <c r="FS36">
        <v>8.4848484848484854E-2</v>
      </c>
      <c r="FT36">
        <v>0</v>
      </c>
      <c r="FU36">
        <v>42</v>
      </c>
      <c r="FV36">
        <v>0</v>
      </c>
      <c r="FW36">
        <v>0</v>
      </c>
      <c r="FX36">
        <v>0</v>
      </c>
      <c r="FY36">
        <v>0</v>
      </c>
      <c r="FZ36">
        <v>3.4482758620689655E-2</v>
      </c>
      <c r="GA36">
        <v>0.44242424242424244</v>
      </c>
      <c r="GB36">
        <v>2</v>
      </c>
      <c r="GC36">
        <v>219</v>
      </c>
      <c r="GD36">
        <v>0</v>
      </c>
      <c r="GE36">
        <v>0</v>
      </c>
      <c r="GF36">
        <v>0</v>
      </c>
      <c r="GG36">
        <v>0</v>
      </c>
      <c r="GH36">
        <v>0</v>
      </c>
      <c r="GI36">
        <v>5.8585858585858588E-2</v>
      </c>
      <c r="GJ36">
        <v>0</v>
      </c>
      <c r="GK36">
        <v>29</v>
      </c>
      <c r="GL36">
        <v>0.91379310344827591</v>
      </c>
      <c r="GM36">
        <v>0.32323232323232326</v>
      </c>
      <c r="GN36">
        <v>53</v>
      </c>
      <c r="GO36">
        <v>160</v>
      </c>
      <c r="GP36">
        <v>5.1724137931034482E-2</v>
      </c>
      <c r="GQ36">
        <v>9.0909090909090912E-2</v>
      </c>
      <c r="GR36">
        <v>3</v>
      </c>
      <c r="GS36">
        <v>45</v>
      </c>
      <c r="GT36">
        <v>6.1983471074380167E-2</v>
      </c>
      <c r="GU36">
        <v>4.425144747725393E-2</v>
      </c>
      <c r="GV36">
        <v>15</v>
      </c>
      <c r="GW36">
        <v>107</v>
      </c>
      <c r="GX36">
        <v>0.1115702479338843</v>
      </c>
      <c r="GY36">
        <v>7.3614557485525228E-2</v>
      </c>
      <c r="GZ36">
        <v>27</v>
      </c>
      <c r="HA36">
        <v>178</v>
      </c>
      <c r="HB36">
        <v>0</v>
      </c>
      <c r="HC36">
        <v>8.271298593879239E-4</v>
      </c>
      <c r="HD36">
        <v>0</v>
      </c>
      <c r="HE36">
        <v>2</v>
      </c>
      <c r="HF36">
        <v>0</v>
      </c>
      <c r="HG36">
        <v>4.1356492969396195E-4</v>
      </c>
      <c r="HH36">
        <v>0</v>
      </c>
      <c r="HI36">
        <v>1</v>
      </c>
      <c r="HJ36">
        <v>0</v>
      </c>
      <c r="HK36">
        <v>4.1356492969396195E-4</v>
      </c>
      <c r="HL36">
        <v>0</v>
      </c>
      <c r="HM36">
        <v>1</v>
      </c>
      <c r="HN36">
        <v>0</v>
      </c>
      <c r="HO36">
        <v>2.0678246484698098E-3</v>
      </c>
      <c r="HP36">
        <v>0</v>
      </c>
      <c r="HQ36">
        <v>5</v>
      </c>
      <c r="HR36">
        <v>0.73966942148760328</v>
      </c>
      <c r="HS36">
        <v>0.80024813895781632</v>
      </c>
      <c r="HT36">
        <v>179</v>
      </c>
      <c r="HU36">
        <v>1935</v>
      </c>
      <c r="HV36">
        <v>8.6776859504132234E-2</v>
      </c>
      <c r="HW36">
        <v>8.0231596360628613E-2</v>
      </c>
      <c r="HX36">
        <v>21</v>
      </c>
      <c r="HY36">
        <v>194</v>
      </c>
      <c r="HZ36">
        <v>0.42063492063492064</v>
      </c>
      <c r="IA36">
        <v>0.44483985765124556</v>
      </c>
      <c r="IB36">
        <v>53</v>
      </c>
      <c r="IC36">
        <v>375</v>
      </c>
      <c r="ID36">
        <v>0.18253968253968253</v>
      </c>
      <c r="IE36">
        <v>0.21233689205219455</v>
      </c>
      <c r="IF36">
        <v>23</v>
      </c>
      <c r="IG36">
        <v>179</v>
      </c>
      <c r="IH36">
        <v>9.5238095238095233E-2</v>
      </c>
      <c r="II36">
        <v>6.1684460260972719E-2</v>
      </c>
      <c r="IJ36">
        <v>12</v>
      </c>
      <c r="IK36">
        <v>52</v>
      </c>
      <c r="IL36">
        <v>1.5873015873015872E-2</v>
      </c>
      <c r="IM36">
        <v>4.0332147093712932E-2</v>
      </c>
      <c r="IN36">
        <v>2</v>
      </c>
      <c r="IO36">
        <v>34</v>
      </c>
      <c r="IP36">
        <v>0.2857142857142857</v>
      </c>
      <c r="IQ36">
        <v>0.2431791221826809</v>
      </c>
      <c r="IR36">
        <v>36</v>
      </c>
      <c r="IS36">
        <v>205</v>
      </c>
      <c r="IT36">
        <v>72.098765432098759</v>
      </c>
      <c r="IU36">
        <v>74.587521663778162</v>
      </c>
      <c r="IV36">
        <v>0.49382716049382713</v>
      </c>
      <c r="IW36">
        <v>0.515625</v>
      </c>
      <c r="IX36">
        <v>40</v>
      </c>
      <c r="IY36">
        <v>297</v>
      </c>
      <c r="IZ36">
        <v>0.14814814814814814</v>
      </c>
      <c r="JA36">
        <v>0.19444444444444445</v>
      </c>
      <c r="JB36">
        <v>12</v>
      </c>
      <c r="JC36">
        <v>112</v>
      </c>
      <c r="JD36">
        <v>0.1111111111111111</v>
      </c>
      <c r="JE36">
        <v>5.9027777777777776E-2</v>
      </c>
      <c r="JF36">
        <v>9</v>
      </c>
      <c r="JG36">
        <v>34</v>
      </c>
      <c r="JH36">
        <v>1.2345679012345678E-2</v>
      </c>
      <c r="JI36">
        <v>3.125E-2</v>
      </c>
      <c r="JJ36">
        <v>1</v>
      </c>
      <c r="JK36">
        <v>18</v>
      </c>
      <c r="JL36">
        <v>0.23456790123456789</v>
      </c>
      <c r="JM36">
        <v>0.2013888888888889</v>
      </c>
      <c r="JN36">
        <v>19</v>
      </c>
      <c r="JO36">
        <v>116</v>
      </c>
      <c r="JP36">
        <v>0</v>
      </c>
      <c r="JQ36">
        <v>7.1895424836601302E-2</v>
      </c>
      <c r="JR36">
        <v>0</v>
      </c>
      <c r="JS36">
        <v>11</v>
      </c>
      <c r="JT36">
        <v>0.9</v>
      </c>
      <c r="JU36">
        <v>0.69281045751633985</v>
      </c>
      <c r="JV36">
        <v>9</v>
      </c>
      <c r="JW36">
        <v>106</v>
      </c>
      <c r="JX36">
        <v>0</v>
      </c>
      <c r="JY36">
        <v>7.1895424836601302E-2</v>
      </c>
      <c r="JZ36">
        <v>0</v>
      </c>
      <c r="KA36">
        <v>11</v>
      </c>
      <c r="KB36">
        <v>0</v>
      </c>
      <c r="KC36">
        <v>3.9215686274509803E-2</v>
      </c>
      <c r="KD36">
        <v>0</v>
      </c>
      <c r="KE36">
        <v>6</v>
      </c>
      <c r="KF36">
        <v>9.9999999999999978E-2</v>
      </c>
      <c r="KG36">
        <v>0.12418300653594783</v>
      </c>
      <c r="KH36">
        <v>1</v>
      </c>
      <c r="KI36">
        <v>19</v>
      </c>
      <c r="KJ36">
        <v>0.2</v>
      </c>
      <c r="KK36">
        <v>0.15584415584415584</v>
      </c>
      <c r="KL36">
        <v>2</v>
      </c>
      <c r="KM36">
        <v>24</v>
      </c>
      <c r="KN36">
        <v>0</v>
      </c>
      <c r="KO36">
        <v>0.14935064935064934</v>
      </c>
      <c r="KP36">
        <v>0</v>
      </c>
      <c r="KQ36">
        <v>23</v>
      </c>
      <c r="KR36">
        <v>0.1</v>
      </c>
      <c r="KS36">
        <v>0.14285714285714285</v>
      </c>
      <c r="KT36">
        <v>1</v>
      </c>
      <c r="KU36">
        <v>22</v>
      </c>
      <c r="KV36">
        <v>0.1</v>
      </c>
      <c r="KW36">
        <v>8.4415584415584416E-2</v>
      </c>
      <c r="KX36">
        <v>1</v>
      </c>
      <c r="KY36">
        <v>13</v>
      </c>
      <c r="KZ36">
        <v>0.6</v>
      </c>
      <c r="LA36">
        <v>0.46753246753246758</v>
      </c>
      <c r="LB36">
        <v>6</v>
      </c>
      <c r="LC36">
        <v>72</v>
      </c>
      <c r="LD36">
        <v>0.45041322314049587</v>
      </c>
      <c r="LE36">
        <v>0.35950413223140498</v>
      </c>
      <c r="LF36">
        <v>1.6528925619834711E-2</v>
      </c>
      <c r="LG36">
        <v>7.4380165289256173E-2</v>
      </c>
      <c r="LH36">
        <v>0.44334160463192723</v>
      </c>
      <c r="LI36">
        <v>0.38792390405293631</v>
      </c>
      <c r="LJ36">
        <v>1.282051282051282E-2</v>
      </c>
      <c r="LK36">
        <v>4.2597187758478094E-2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Méthodologie</vt:lpstr>
      <vt:lpstr>Par Territoire</vt:lpstr>
      <vt:lpstr>Analyse tous territoires</vt:lpstr>
      <vt:lpstr>Feuil4</vt:lpstr>
      <vt:lpstr>'Analyse tous territoires'!Zone_d_impression</vt:lpstr>
      <vt:lpstr>'Par Territoire'!Zone_d_impression</vt:lpstr>
    </vt:vector>
  </TitlesOfParts>
  <Company>MSS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ctauzin</cp:lastModifiedBy>
  <cp:lastPrinted>2015-10-21T13:12:34Z</cp:lastPrinted>
  <dcterms:created xsi:type="dcterms:W3CDTF">2014-10-20T12:51:38Z</dcterms:created>
  <dcterms:modified xsi:type="dcterms:W3CDTF">2017-01-10T13:27:53Z</dcterms:modified>
</cp:coreProperties>
</file>