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5.xml" ContentType="application/vnd.openxmlformats-officedocument.drawingml.chartshapes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7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8.xml" ContentType="application/vnd.openxmlformats-officedocument.drawing+xml"/>
  <Override PartName="/xl/comments4.xml" ContentType="application/vnd.openxmlformats-officedocument.spreadsheetml.comments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9.xml" ContentType="application/vnd.openxmlformats-officedocument.drawing+xml"/>
  <Override PartName="/xl/comments5.xml" ContentType="application/vnd.openxmlformats-officedocument.spreadsheetml.comment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10.xml" ContentType="application/vnd.openxmlformats-officedocument.drawing+xml"/>
  <Override PartName="/xl/comments6.xml" ContentType="application/vnd.openxmlformats-officedocument.spreadsheetml.comments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11.xml" ContentType="application/vnd.openxmlformats-officedocument.drawing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drawings/drawing12.xml" ContentType="application/vnd.openxmlformats-officedocument.drawing+xml"/>
  <Override PartName="/xl/comments7.xml" ContentType="application/vnd.openxmlformats-officedocument.spreadsheetml.comments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drawings/drawing13.xml" ContentType="application/vnd.openxmlformats-officedocument.drawing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75" windowWidth="18960" windowHeight="7500" tabRatio="705" firstSheet="1" activeTab="2"/>
  </bookViews>
  <sheets>
    <sheet name="MEMO" sheetId="1" r:id="rId1"/>
    <sheet name="Divers" sheetId="12" r:id="rId2"/>
    <sheet name="2emePARTIE" sheetId="14" r:id="rId3"/>
    <sheet name="1_PerfAchats" sheetId="2" r:id="rId4"/>
    <sheet name="2_Gouvernance" sheetId="3" r:id="rId5"/>
    <sheet name="3_ProcessusAchats" sheetId="4" r:id="rId6"/>
    <sheet name="4_Mutualisation" sheetId="5" r:id="rId7"/>
    <sheet name="5_RH" sheetId="6" r:id="rId8"/>
    <sheet name="6_Satisfaction" sheetId="7" r:id="rId9"/>
    <sheet name="7_Qualitatif" sheetId="8" r:id="rId10"/>
    <sheet name="8_Directoire" sheetId="9" r:id="rId11"/>
    <sheet name="9_PHARE" sheetId="10" r:id="rId12"/>
    <sheet name="10_PolitiqueAchat" sheetId="13" r:id="rId13"/>
  </sheets>
  <definedNames>
    <definedName name="ObjTx_PeriTraitable">MEMO!$B$11</definedName>
    <definedName name="ObjTx_PeriTraite">MEMO!$B$12</definedName>
  </definedNames>
  <calcPr calcId="145621"/>
</workbook>
</file>

<file path=xl/calcChain.xml><?xml version="1.0" encoding="utf-8"?>
<calcChain xmlns="http://schemas.openxmlformats.org/spreadsheetml/2006/main">
  <c r="C397" i="14" l="1"/>
  <c r="D397" i="14"/>
  <c r="E397" i="14"/>
  <c r="F397" i="14"/>
  <c r="G397" i="14"/>
  <c r="H397" i="14"/>
  <c r="B397" i="14"/>
  <c r="I395" i="14"/>
  <c r="I385" i="14"/>
  <c r="I384" i="14"/>
  <c r="I383" i="14"/>
  <c r="C384" i="14"/>
  <c r="D384" i="14"/>
  <c r="E384" i="14"/>
  <c r="F384" i="14"/>
  <c r="G384" i="14"/>
  <c r="H384" i="14"/>
  <c r="B384" i="14"/>
  <c r="I396" i="14" l="1"/>
  <c r="I397" i="14" s="1"/>
  <c r="B286" i="14"/>
  <c r="C280" i="14"/>
  <c r="D280" i="14"/>
  <c r="B280" i="14"/>
  <c r="B258" i="14" l="1"/>
  <c r="B243" i="14"/>
  <c r="F20" i="2"/>
  <c r="M104" i="14" l="1"/>
  <c r="M105" i="14" s="1"/>
  <c r="C104" i="14"/>
  <c r="D104" i="14"/>
  <c r="D105" i="14" s="1"/>
  <c r="E104" i="14"/>
  <c r="E105" i="14" s="1"/>
  <c r="F104" i="14"/>
  <c r="F105" i="14" s="1"/>
  <c r="G104" i="14"/>
  <c r="G105" i="14" s="1"/>
  <c r="H104" i="14"/>
  <c r="H105" i="14" s="1"/>
  <c r="I104" i="14"/>
  <c r="I105" i="14" s="1"/>
  <c r="J104" i="14"/>
  <c r="J105" i="14" s="1"/>
  <c r="K104" i="14"/>
  <c r="K105" i="14" s="1"/>
  <c r="L104" i="14"/>
  <c r="L105" i="14" s="1"/>
  <c r="B104" i="14"/>
  <c r="B105" i="14" s="1"/>
  <c r="C105" i="14"/>
  <c r="F215" i="14"/>
  <c r="F214" i="14"/>
  <c r="F207" i="14"/>
  <c r="C205" i="14"/>
  <c r="D205" i="14"/>
  <c r="E205" i="14"/>
  <c r="B205" i="14"/>
  <c r="F206" i="14"/>
  <c r="O176" i="14"/>
  <c r="P176" i="14"/>
  <c r="Q176" i="14"/>
  <c r="R176" i="14"/>
  <c r="S176" i="14"/>
  <c r="T176" i="14"/>
  <c r="U176" i="14"/>
  <c r="V176" i="14"/>
  <c r="W176" i="14"/>
  <c r="X176" i="14"/>
  <c r="Y176" i="14"/>
  <c r="N176" i="14"/>
  <c r="C176" i="14"/>
  <c r="D176" i="14"/>
  <c r="E176" i="14"/>
  <c r="F176" i="14"/>
  <c r="G176" i="14"/>
  <c r="H176" i="14"/>
  <c r="I176" i="14"/>
  <c r="J176" i="14"/>
  <c r="K176" i="14"/>
  <c r="L176" i="14"/>
  <c r="M176" i="14"/>
  <c r="B176" i="14"/>
  <c r="AA176" i="14"/>
  <c r="AB176" i="14"/>
  <c r="AC176" i="14"/>
  <c r="AD176" i="14"/>
  <c r="AE176" i="14"/>
  <c r="AF176" i="14"/>
  <c r="AG176" i="14"/>
  <c r="AH176" i="14"/>
  <c r="AI176" i="14"/>
  <c r="AJ176" i="14"/>
  <c r="AK176" i="14"/>
  <c r="Z176" i="14"/>
  <c r="O148" i="14"/>
  <c r="P148" i="14"/>
  <c r="Q148" i="14"/>
  <c r="R148" i="14"/>
  <c r="S148" i="14"/>
  <c r="T148" i="14"/>
  <c r="U148" i="14"/>
  <c r="V148" i="14"/>
  <c r="W148" i="14"/>
  <c r="X148" i="14"/>
  <c r="Y148" i="14"/>
  <c r="N148" i="14"/>
  <c r="M148" i="14"/>
  <c r="C148" i="14"/>
  <c r="D148" i="14"/>
  <c r="E148" i="14"/>
  <c r="F148" i="14"/>
  <c r="G148" i="14"/>
  <c r="H148" i="14"/>
  <c r="I148" i="14"/>
  <c r="J148" i="14"/>
  <c r="K148" i="14"/>
  <c r="L148" i="14"/>
  <c r="B148" i="14"/>
  <c r="G132" i="14"/>
  <c r="H132" i="14"/>
  <c r="I132" i="14"/>
  <c r="F132" i="14"/>
  <c r="C132" i="14"/>
  <c r="D132" i="14"/>
  <c r="E132" i="14"/>
  <c r="B132" i="14"/>
  <c r="J106" i="14" l="1"/>
  <c r="E106" i="14"/>
  <c r="H106" i="14"/>
  <c r="F106" i="14"/>
  <c r="I106" i="14"/>
  <c r="D106" i="14"/>
  <c r="K106" i="14"/>
  <c r="G106" i="14"/>
  <c r="C106" i="14"/>
  <c r="M106" i="14"/>
  <c r="N104" i="14"/>
  <c r="U33" i="14"/>
  <c r="U34" i="14"/>
  <c r="U35" i="14"/>
  <c r="U32" i="14"/>
  <c r="L106" i="14"/>
  <c r="D13" i="14" l="1"/>
  <c r="E13" i="14"/>
  <c r="C13" i="14"/>
  <c r="E75" i="14"/>
  <c r="N105" i="14" l="1"/>
  <c r="N106" i="14" s="1"/>
  <c r="B106" i="14"/>
  <c r="D75" i="14"/>
  <c r="D89" i="14" l="1"/>
  <c r="C89" i="14"/>
  <c r="C75" i="14"/>
  <c r="C43" i="14" l="1"/>
  <c r="C44" i="14" s="1"/>
  <c r="D43" i="14"/>
  <c r="D44" i="14" s="1"/>
  <c r="B43" i="14"/>
  <c r="B44" i="14" s="1"/>
  <c r="W47" i="14"/>
  <c r="W48" i="14" s="1"/>
  <c r="W49" i="14" s="1"/>
  <c r="W50" i="14" s="1"/>
  <c r="W51" i="14" s="1"/>
  <c r="B6" i="14" l="1"/>
  <c r="C5" i="14"/>
  <c r="C6" i="14" s="1"/>
  <c r="D5" i="14" l="1"/>
  <c r="D6" i="14" s="1"/>
  <c r="P102" i="4"/>
  <c r="P101" i="4"/>
  <c r="P100" i="4"/>
  <c r="P99" i="4"/>
  <c r="P98" i="4"/>
  <c r="Q98" i="4" s="1"/>
  <c r="P97" i="4"/>
  <c r="P96" i="4"/>
  <c r="P94" i="4"/>
  <c r="P95" i="4"/>
  <c r="N102" i="4"/>
  <c r="N94" i="4"/>
  <c r="G72" i="4"/>
  <c r="F72" i="4"/>
  <c r="F73" i="4" s="1"/>
  <c r="F74" i="4" s="1"/>
  <c r="F75" i="4" s="1"/>
  <c r="F76" i="4" s="1"/>
  <c r="F77" i="4" s="1"/>
  <c r="F78" i="4" s="1"/>
  <c r="F79" i="4" s="1"/>
  <c r="F80" i="4" s="1"/>
  <c r="F81" i="4" s="1"/>
  <c r="F82" i="4" s="1"/>
  <c r="F83" i="4" s="1"/>
  <c r="F84" i="4" s="1"/>
  <c r="F85" i="4" s="1"/>
  <c r="F86" i="4" s="1"/>
  <c r="F87" i="4" s="1"/>
  <c r="F88" i="4" s="1"/>
  <c r="F89" i="4" s="1"/>
  <c r="F90" i="4" s="1"/>
  <c r="F91" i="4" s="1"/>
  <c r="F92" i="4" s="1"/>
  <c r="F93" i="4" s="1"/>
  <c r="F94" i="4" s="1"/>
  <c r="F95" i="4" s="1"/>
  <c r="F96" i="4" s="1"/>
  <c r="F97" i="4" s="1"/>
  <c r="F98" i="4" s="1"/>
  <c r="F99" i="4" s="1"/>
  <c r="F100" i="4" s="1"/>
  <c r="F101" i="4" s="1"/>
  <c r="F102" i="4" s="1"/>
  <c r="F103" i="4" s="1"/>
  <c r="F104" i="4" s="1"/>
  <c r="F105" i="4" s="1"/>
  <c r="F106" i="4" s="1"/>
  <c r="F107" i="4" s="1"/>
  <c r="F108" i="4" s="1"/>
  <c r="F109" i="4" s="1"/>
  <c r="F110" i="4" s="1"/>
  <c r="F111" i="4" s="1"/>
  <c r="F112" i="4" s="1"/>
  <c r="F113" i="4" s="1"/>
  <c r="F114" i="4" s="1"/>
  <c r="F115" i="4" s="1"/>
  <c r="F116" i="4" s="1"/>
  <c r="F117" i="4" s="1"/>
  <c r="F118" i="4" s="1"/>
  <c r="F119" i="4" s="1"/>
  <c r="F120" i="4" s="1"/>
  <c r="F121" i="4" s="1"/>
  <c r="F122" i="4" s="1"/>
  <c r="F123" i="4" s="1"/>
  <c r="F124" i="4" s="1"/>
  <c r="F125" i="4" s="1"/>
  <c r="F126" i="4" s="1"/>
  <c r="F127" i="4" s="1"/>
  <c r="F128" i="4" s="1"/>
  <c r="F129" i="4" s="1"/>
  <c r="F130" i="4" s="1"/>
  <c r="F131" i="4" s="1"/>
  <c r="F132" i="4" s="1"/>
  <c r="F133" i="4" s="1"/>
  <c r="F134" i="4" s="1"/>
  <c r="F135" i="4" s="1"/>
  <c r="F136" i="4" s="1"/>
  <c r="F137" i="4" s="1"/>
  <c r="F138" i="4" s="1"/>
  <c r="F139" i="4" s="1"/>
  <c r="F140" i="4" s="1"/>
  <c r="F141" i="4" s="1"/>
  <c r="Q100" i="4" l="1"/>
  <c r="Q95" i="4"/>
  <c r="Q94" i="4"/>
  <c r="Q103" i="4" s="1"/>
  <c r="Q96" i="4"/>
  <c r="Q97" i="4"/>
  <c r="Q101" i="4"/>
  <c r="Q102" i="4"/>
  <c r="Q99" i="4"/>
  <c r="O102" i="4"/>
  <c r="O94" i="4"/>
  <c r="N101" i="4"/>
  <c r="P103" i="4"/>
  <c r="H72" i="4"/>
  <c r="K73" i="4" s="1"/>
  <c r="H71" i="4"/>
  <c r="K72" i="4" s="1"/>
  <c r="F8" i="4"/>
  <c r="G8" i="4"/>
  <c r="H8" i="4"/>
  <c r="I8" i="4"/>
  <c r="J8" i="4"/>
  <c r="K8" i="4"/>
  <c r="L8" i="4"/>
  <c r="M8" i="4"/>
  <c r="N8" i="4"/>
  <c r="O8" i="4"/>
  <c r="P8" i="4"/>
  <c r="E8" i="4"/>
  <c r="O101" i="4" l="1"/>
  <c r="N100" i="4"/>
  <c r="F15" i="4"/>
  <c r="G15" i="4"/>
  <c r="H15" i="4"/>
  <c r="I15" i="4"/>
  <c r="J15" i="4"/>
  <c r="K15" i="4"/>
  <c r="L15" i="4"/>
  <c r="M15" i="4"/>
  <c r="N15" i="4"/>
  <c r="O15" i="4"/>
  <c r="P15" i="4"/>
  <c r="E15" i="4"/>
  <c r="F26" i="4"/>
  <c r="F36" i="4" s="1"/>
  <c r="G26" i="4"/>
  <c r="G36" i="4" s="1"/>
  <c r="H26" i="4"/>
  <c r="H36" i="4" s="1"/>
  <c r="I26" i="4"/>
  <c r="I36" i="4" s="1"/>
  <c r="J26" i="4"/>
  <c r="J36" i="4" s="1"/>
  <c r="K26" i="4"/>
  <c r="K36" i="4" s="1"/>
  <c r="L26" i="4"/>
  <c r="L36" i="4" s="1"/>
  <c r="M26" i="4"/>
  <c r="M36" i="4" s="1"/>
  <c r="N26" i="4"/>
  <c r="N36" i="4" s="1"/>
  <c r="O26" i="4"/>
  <c r="O36" i="4" s="1"/>
  <c r="P26" i="4"/>
  <c r="P36" i="4" s="1"/>
  <c r="F27" i="4"/>
  <c r="F37" i="4" s="1"/>
  <c r="G27" i="4"/>
  <c r="G37" i="4" s="1"/>
  <c r="H27" i="4"/>
  <c r="H37" i="4" s="1"/>
  <c r="I27" i="4"/>
  <c r="I37" i="4" s="1"/>
  <c r="J27" i="4"/>
  <c r="J37" i="4" s="1"/>
  <c r="K27" i="4"/>
  <c r="K37" i="4" s="1"/>
  <c r="L27" i="4"/>
  <c r="L37" i="4" s="1"/>
  <c r="M27" i="4"/>
  <c r="M37" i="4" s="1"/>
  <c r="N27" i="4"/>
  <c r="N37" i="4" s="1"/>
  <c r="O27" i="4"/>
  <c r="O37" i="4" s="1"/>
  <c r="P27" i="4"/>
  <c r="P37" i="4" s="1"/>
  <c r="F28" i="4"/>
  <c r="F38" i="4" s="1"/>
  <c r="G28" i="4"/>
  <c r="G38" i="4" s="1"/>
  <c r="H28" i="4"/>
  <c r="H38" i="4" s="1"/>
  <c r="I28" i="4"/>
  <c r="I38" i="4" s="1"/>
  <c r="J28" i="4"/>
  <c r="J38" i="4" s="1"/>
  <c r="K28" i="4"/>
  <c r="K38" i="4" s="1"/>
  <c r="L28" i="4"/>
  <c r="L38" i="4" s="1"/>
  <c r="M28" i="4"/>
  <c r="M38" i="4" s="1"/>
  <c r="N28" i="4"/>
  <c r="N38" i="4" s="1"/>
  <c r="O28" i="4"/>
  <c r="O38" i="4" s="1"/>
  <c r="P28" i="4"/>
  <c r="P38" i="4" s="1"/>
  <c r="F29" i="4"/>
  <c r="F39" i="4" s="1"/>
  <c r="G29" i="4"/>
  <c r="G39" i="4" s="1"/>
  <c r="H29" i="4"/>
  <c r="H39" i="4" s="1"/>
  <c r="I29" i="4"/>
  <c r="I39" i="4" s="1"/>
  <c r="J29" i="4"/>
  <c r="J39" i="4" s="1"/>
  <c r="K29" i="4"/>
  <c r="K39" i="4" s="1"/>
  <c r="L29" i="4"/>
  <c r="L39" i="4" s="1"/>
  <c r="M29" i="4"/>
  <c r="M39" i="4" s="1"/>
  <c r="N29" i="4"/>
  <c r="N39" i="4" s="1"/>
  <c r="O29" i="4"/>
  <c r="O39" i="4" s="1"/>
  <c r="P29" i="4"/>
  <c r="P39" i="4" s="1"/>
  <c r="F30" i="4"/>
  <c r="F40" i="4" s="1"/>
  <c r="G30" i="4"/>
  <c r="G40" i="4" s="1"/>
  <c r="H30" i="4"/>
  <c r="H40" i="4" s="1"/>
  <c r="I30" i="4"/>
  <c r="I40" i="4" s="1"/>
  <c r="J30" i="4"/>
  <c r="J40" i="4" s="1"/>
  <c r="K30" i="4"/>
  <c r="K40" i="4" s="1"/>
  <c r="L30" i="4"/>
  <c r="L40" i="4" s="1"/>
  <c r="M30" i="4"/>
  <c r="M40" i="4" s="1"/>
  <c r="N30" i="4"/>
  <c r="N40" i="4" s="1"/>
  <c r="O30" i="4"/>
  <c r="O40" i="4" s="1"/>
  <c r="P30" i="4"/>
  <c r="P40" i="4" s="1"/>
  <c r="F31" i="4"/>
  <c r="F41" i="4" s="1"/>
  <c r="G31" i="4"/>
  <c r="G41" i="4" s="1"/>
  <c r="H31" i="4"/>
  <c r="H41" i="4" s="1"/>
  <c r="I31" i="4"/>
  <c r="I41" i="4" s="1"/>
  <c r="J31" i="4"/>
  <c r="J41" i="4" s="1"/>
  <c r="K31" i="4"/>
  <c r="K41" i="4" s="1"/>
  <c r="L31" i="4"/>
  <c r="L41" i="4" s="1"/>
  <c r="M31" i="4"/>
  <c r="M41" i="4" s="1"/>
  <c r="N31" i="4"/>
  <c r="N41" i="4" s="1"/>
  <c r="O31" i="4"/>
  <c r="O41" i="4" s="1"/>
  <c r="P31" i="4"/>
  <c r="P41" i="4" s="1"/>
  <c r="F32" i="4"/>
  <c r="F42" i="4" s="1"/>
  <c r="G32" i="4"/>
  <c r="G42" i="4" s="1"/>
  <c r="H32" i="4"/>
  <c r="H42" i="4" s="1"/>
  <c r="I32" i="4"/>
  <c r="I42" i="4" s="1"/>
  <c r="J32" i="4"/>
  <c r="J42" i="4" s="1"/>
  <c r="K32" i="4"/>
  <c r="K42" i="4" s="1"/>
  <c r="L32" i="4"/>
  <c r="L42" i="4" s="1"/>
  <c r="M32" i="4"/>
  <c r="M42" i="4" s="1"/>
  <c r="N32" i="4"/>
  <c r="N42" i="4" s="1"/>
  <c r="O32" i="4"/>
  <c r="O42" i="4" s="1"/>
  <c r="P32" i="4"/>
  <c r="P42" i="4" s="1"/>
  <c r="F33" i="4"/>
  <c r="F43" i="4" s="1"/>
  <c r="G33" i="4"/>
  <c r="G43" i="4" s="1"/>
  <c r="H33" i="4"/>
  <c r="H43" i="4" s="1"/>
  <c r="I33" i="4"/>
  <c r="I43" i="4" s="1"/>
  <c r="J33" i="4"/>
  <c r="J43" i="4" s="1"/>
  <c r="K33" i="4"/>
  <c r="K43" i="4" s="1"/>
  <c r="L33" i="4"/>
  <c r="L43" i="4" s="1"/>
  <c r="M33" i="4"/>
  <c r="M43" i="4" s="1"/>
  <c r="N33" i="4"/>
  <c r="N43" i="4" s="1"/>
  <c r="O33" i="4"/>
  <c r="O43" i="4" s="1"/>
  <c r="P33" i="4"/>
  <c r="P43" i="4" s="1"/>
  <c r="F34" i="4"/>
  <c r="F44" i="4" s="1"/>
  <c r="G34" i="4"/>
  <c r="G44" i="4" s="1"/>
  <c r="H34" i="4"/>
  <c r="H44" i="4" s="1"/>
  <c r="I34" i="4"/>
  <c r="I44" i="4" s="1"/>
  <c r="J34" i="4"/>
  <c r="J44" i="4" s="1"/>
  <c r="K34" i="4"/>
  <c r="K44" i="4" s="1"/>
  <c r="L34" i="4"/>
  <c r="L44" i="4" s="1"/>
  <c r="M34" i="4"/>
  <c r="M44" i="4" s="1"/>
  <c r="N34" i="4"/>
  <c r="N44" i="4" s="1"/>
  <c r="O34" i="4"/>
  <c r="O44" i="4" s="1"/>
  <c r="P34" i="4"/>
  <c r="P44" i="4" s="1"/>
  <c r="E27" i="4"/>
  <c r="E28" i="4"/>
  <c r="E29" i="4"/>
  <c r="E30" i="4"/>
  <c r="E31" i="4"/>
  <c r="E32" i="4"/>
  <c r="E33" i="4"/>
  <c r="E26" i="4"/>
  <c r="E36" i="4" s="1"/>
  <c r="E34" i="4"/>
  <c r="E44" i="4" s="1"/>
  <c r="U12" i="13"/>
  <c r="V12" i="13"/>
  <c r="W12" i="13"/>
  <c r="X12" i="13" s="1"/>
  <c r="E10" i="13"/>
  <c r="E12" i="13" s="1"/>
  <c r="O100" i="4" l="1"/>
  <c r="N99" i="4"/>
  <c r="F12" i="13"/>
  <c r="F11" i="13"/>
  <c r="E11" i="13"/>
  <c r="E13" i="13" s="1"/>
  <c r="V11" i="13"/>
  <c r="W11" i="13"/>
  <c r="X11" i="13" s="1"/>
  <c r="I11" i="13"/>
  <c r="T9" i="13"/>
  <c r="T8" i="13" s="1"/>
  <c r="S9" i="13"/>
  <c r="S8" i="13" s="1"/>
  <c r="R9" i="13"/>
  <c r="R8" i="13" s="1"/>
  <c r="Q9" i="13"/>
  <c r="Q10" i="13" s="1"/>
  <c r="S10" i="13" l="1"/>
  <c r="R10" i="13"/>
  <c r="J9" i="13"/>
  <c r="J12" i="13" s="1"/>
  <c r="O99" i="4"/>
  <c r="N98" i="4"/>
  <c r="M9" i="13"/>
  <c r="F13" i="13"/>
  <c r="L11" i="13"/>
  <c r="H11" i="13"/>
  <c r="G11" i="13"/>
  <c r="O11" i="13"/>
  <c r="J11" i="13"/>
  <c r="P11" i="13"/>
  <c r="N11" i="13"/>
  <c r="K11" i="13"/>
  <c r="M11" i="13"/>
  <c r="G12" i="13"/>
  <c r="K12" i="13"/>
  <c r="H12" i="13"/>
  <c r="H13" i="13" s="1"/>
  <c r="I12" i="13"/>
  <c r="I13" i="13" s="1"/>
  <c r="N12" i="13"/>
  <c r="U11" i="13"/>
  <c r="T10" i="13"/>
  <c r="V10" i="13" s="1"/>
  <c r="Q8" i="13"/>
  <c r="U8" i="13" s="1"/>
  <c r="V8" i="13"/>
  <c r="V4" i="13"/>
  <c r="U4" i="13"/>
  <c r="V5" i="13"/>
  <c r="U5" i="13"/>
  <c r="V3" i="13"/>
  <c r="U3" i="13"/>
  <c r="E10" i="4"/>
  <c r="G13" i="4"/>
  <c r="H13" i="4"/>
  <c r="I13" i="4"/>
  <c r="J13" i="4"/>
  <c r="K13" i="4"/>
  <c r="L13" i="4"/>
  <c r="M13" i="4"/>
  <c r="N13" i="4"/>
  <c r="O13" i="4"/>
  <c r="P13" i="4"/>
  <c r="F13" i="4"/>
  <c r="E13" i="4"/>
  <c r="M12" i="13" l="1"/>
  <c r="L12" i="13"/>
  <c r="O12" i="13"/>
  <c r="O13" i="13" s="1"/>
  <c r="P12" i="13"/>
  <c r="P13" i="13" s="1"/>
  <c r="O98" i="4"/>
  <c r="N97" i="4"/>
  <c r="L13" i="13"/>
  <c r="G13" i="13"/>
  <c r="N13" i="13"/>
  <c r="J13" i="13"/>
  <c r="K13" i="13"/>
  <c r="M13" i="13"/>
  <c r="U9" i="13"/>
  <c r="W5" i="13"/>
  <c r="X5" i="13" s="1"/>
  <c r="W4" i="13"/>
  <c r="X4" i="13" s="1"/>
  <c r="W3" i="13"/>
  <c r="X3" i="13" s="1"/>
  <c r="U10" i="13"/>
  <c r="W23" i="4"/>
  <c r="E47" i="12" s="1"/>
  <c r="W22" i="4"/>
  <c r="E46" i="12" s="1"/>
  <c r="W21" i="4"/>
  <c r="E45" i="12" s="1"/>
  <c r="W20" i="4"/>
  <c r="E44" i="12" s="1"/>
  <c r="W19" i="4"/>
  <c r="E43" i="12" s="1"/>
  <c r="W18" i="4"/>
  <c r="E42" i="12" s="1"/>
  <c r="W17" i="4"/>
  <c r="E41" i="12" s="1"/>
  <c r="W16" i="4"/>
  <c r="E40" i="12" s="1"/>
  <c r="F40" i="12" s="1"/>
  <c r="D26" i="4"/>
  <c r="D27" i="4"/>
  <c r="D28" i="4"/>
  <c r="D29" i="4"/>
  <c r="D30" i="4"/>
  <c r="D31" i="4"/>
  <c r="D32" i="4"/>
  <c r="D33" i="4"/>
  <c r="D34" i="4"/>
  <c r="D36" i="4"/>
  <c r="D37" i="4"/>
  <c r="D38" i="4"/>
  <c r="D39" i="4"/>
  <c r="D40" i="4"/>
  <c r="D41" i="4"/>
  <c r="D42" i="4"/>
  <c r="D43" i="4"/>
  <c r="D44" i="4"/>
  <c r="O97" i="4" l="1"/>
  <c r="N96" i="4"/>
  <c r="F41" i="12"/>
  <c r="F42" i="12" s="1"/>
  <c r="F43" i="12" s="1"/>
  <c r="F44" i="12" s="1"/>
  <c r="F45" i="12" s="1"/>
  <c r="F46" i="12" s="1"/>
  <c r="F47" i="12" s="1"/>
  <c r="W8" i="13"/>
  <c r="X8" i="13" s="1"/>
  <c r="V9" i="13"/>
  <c r="W10" i="13"/>
  <c r="X10" i="13" s="1"/>
  <c r="W9" i="13"/>
  <c r="X9" i="13" s="1"/>
  <c r="W24" i="4"/>
  <c r="E48" i="12" s="1"/>
  <c r="K1" i="3"/>
  <c r="E5" i="3"/>
  <c r="V12" i="4"/>
  <c r="T12" i="4"/>
  <c r="R12" i="4"/>
  <c r="G19" i="12"/>
  <c r="J18" i="12"/>
  <c r="J21" i="12" s="1"/>
  <c r="I18" i="12"/>
  <c r="I21" i="12" s="1"/>
  <c r="H18" i="12"/>
  <c r="H21" i="12" s="1"/>
  <c r="G18" i="12"/>
  <c r="E18" i="12"/>
  <c r="E21" i="12" s="1"/>
  <c r="F18" i="12"/>
  <c r="F21" i="12" s="1"/>
  <c r="J16" i="12"/>
  <c r="I16" i="12"/>
  <c r="H16" i="12"/>
  <c r="G16" i="12"/>
  <c r="F16" i="12"/>
  <c r="E16" i="12"/>
  <c r="Y26" i="2"/>
  <c r="E8" i="12"/>
  <c r="H7" i="12"/>
  <c r="H8" i="12" s="1"/>
  <c r="F7" i="12"/>
  <c r="F9" i="12" s="1"/>
  <c r="E7" i="12"/>
  <c r="E9" i="12" s="1"/>
  <c r="E4" i="2"/>
  <c r="E1" i="2"/>
  <c r="Z1" i="2" s="1"/>
  <c r="Y17" i="2"/>
  <c r="Y16" i="2"/>
  <c r="G17" i="2"/>
  <c r="H17" i="2"/>
  <c r="I17" i="2"/>
  <c r="J17" i="2"/>
  <c r="K17" i="2"/>
  <c r="L17" i="2"/>
  <c r="M17" i="2"/>
  <c r="N17" i="2"/>
  <c r="O17" i="2"/>
  <c r="P17" i="2"/>
  <c r="Q17" i="2"/>
  <c r="S17" i="2"/>
  <c r="T17" i="2"/>
  <c r="U17" i="2"/>
  <c r="V17" i="2"/>
  <c r="W17" i="2"/>
  <c r="X17" i="2"/>
  <c r="F17" i="2"/>
  <c r="S16" i="2"/>
  <c r="T16" i="2"/>
  <c r="U16" i="2"/>
  <c r="V16" i="2"/>
  <c r="W16" i="2"/>
  <c r="X16" i="2"/>
  <c r="G16" i="2"/>
  <c r="H16" i="2"/>
  <c r="I16" i="2"/>
  <c r="J16" i="2"/>
  <c r="K16" i="2"/>
  <c r="L16" i="2"/>
  <c r="M16" i="2"/>
  <c r="N16" i="2"/>
  <c r="O16" i="2"/>
  <c r="P16" i="2"/>
  <c r="Q16" i="2"/>
  <c r="F16" i="2"/>
  <c r="Y13" i="2"/>
  <c r="Y12" i="2"/>
  <c r="G14" i="2"/>
  <c r="H14" i="2"/>
  <c r="I14" i="2"/>
  <c r="J14" i="2"/>
  <c r="K14" i="2"/>
  <c r="L14" i="2"/>
  <c r="M14" i="2"/>
  <c r="N14" i="2"/>
  <c r="O14" i="2"/>
  <c r="P14" i="2"/>
  <c r="Q14" i="2"/>
  <c r="G15" i="2"/>
  <c r="H15" i="2"/>
  <c r="I15" i="2"/>
  <c r="J15" i="2"/>
  <c r="K15" i="2"/>
  <c r="L15" i="2"/>
  <c r="M15" i="2"/>
  <c r="N15" i="2"/>
  <c r="O15" i="2"/>
  <c r="P15" i="2"/>
  <c r="Q15" i="2"/>
  <c r="F15" i="2"/>
  <c r="F14" i="2"/>
  <c r="V1" i="2"/>
  <c r="T1" i="13" s="1"/>
  <c r="U1" i="2"/>
  <c r="S1" i="13" s="1"/>
  <c r="T1" i="2"/>
  <c r="R1" i="13" s="1"/>
  <c r="X1" i="2"/>
  <c r="V1" i="13" s="1"/>
  <c r="W1" i="2"/>
  <c r="U1" i="13" s="1"/>
  <c r="S1" i="2"/>
  <c r="Q1" i="13" s="1"/>
  <c r="X13" i="2"/>
  <c r="W13" i="2"/>
  <c r="V13" i="2"/>
  <c r="U13" i="2"/>
  <c r="T13" i="2"/>
  <c r="S13" i="2"/>
  <c r="X12" i="2"/>
  <c r="W12" i="2"/>
  <c r="V12" i="2"/>
  <c r="U12" i="2"/>
  <c r="T12" i="2"/>
  <c r="S12" i="2"/>
  <c r="J20" i="12" l="1"/>
  <c r="F8" i="12"/>
  <c r="O96" i="4"/>
  <c r="N95" i="4"/>
  <c r="T1" i="4"/>
  <c r="T2" i="4" s="1"/>
  <c r="G1" i="3"/>
  <c r="U1" i="4"/>
  <c r="Q1" i="4"/>
  <c r="G2" i="4" s="1"/>
  <c r="Q13" i="4" s="1"/>
  <c r="H1" i="3"/>
  <c r="V1" i="4"/>
  <c r="R1" i="4"/>
  <c r="I1" i="3"/>
  <c r="E1" i="3"/>
  <c r="S1" i="4"/>
  <c r="S2" i="4" s="1"/>
  <c r="J1" i="3"/>
  <c r="F1" i="3"/>
  <c r="F48" i="12"/>
  <c r="E49" i="12"/>
  <c r="G48" i="12" s="1"/>
  <c r="H48" i="12" s="1"/>
  <c r="G21" i="12"/>
  <c r="I20" i="12"/>
  <c r="G20" i="12"/>
  <c r="F20" i="12"/>
  <c r="E20" i="12"/>
  <c r="H20" i="12"/>
  <c r="U12" i="4"/>
  <c r="S12" i="4"/>
  <c r="W12" i="4"/>
  <c r="W13" i="4" s="1"/>
  <c r="Q12" i="4"/>
  <c r="F26" i="2"/>
  <c r="G26" i="2" s="1"/>
  <c r="H26" i="2" s="1"/>
  <c r="I26" i="2" s="1"/>
  <c r="J26" i="2" s="1"/>
  <c r="K26" i="2" s="1"/>
  <c r="L26" i="2" s="1"/>
  <c r="M26" i="2" s="1"/>
  <c r="N26" i="2" s="1"/>
  <c r="O26" i="2" s="1"/>
  <c r="P26" i="2" s="1"/>
  <c r="Q26" i="2" s="1"/>
  <c r="S26" i="2"/>
  <c r="T26" i="2" s="1"/>
  <c r="U26" i="2" s="1"/>
  <c r="V26" i="2" s="1"/>
  <c r="W26" i="2"/>
  <c r="X26" i="2" s="1"/>
  <c r="T2" i="2"/>
  <c r="U2" i="2"/>
  <c r="V2" i="2"/>
  <c r="S2" i="2"/>
  <c r="R2" i="4"/>
  <c r="Q6" i="4"/>
  <c r="U6" i="4"/>
  <c r="F5" i="4"/>
  <c r="F7" i="4" s="1"/>
  <c r="G5" i="4"/>
  <c r="G7" i="4" s="1"/>
  <c r="E5" i="4"/>
  <c r="Q4" i="4"/>
  <c r="S4" i="4"/>
  <c r="H5" i="4"/>
  <c r="H7" i="4" s="1"/>
  <c r="J2" i="4"/>
  <c r="F5" i="3"/>
  <c r="G5" i="3"/>
  <c r="H5" i="3"/>
  <c r="J4" i="3"/>
  <c r="I4" i="3"/>
  <c r="I7" i="12"/>
  <c r="E1" i="12"/>
  <c r="F1" i="12" s="1"/>
  <c r="Q2" i="4" l="1"/>
  <c r="K4" i="3"/>
  <c r="O95" i="4"/>
  <c r="O103" i="4" s="1"/>
  <c r="N103" i="4"/>
  <c r="J5" i="3"/>
  <c r="E7" i="4"/>
  <c r="E40" i="4" s="1"/>
  <c r="E38" i="4"/>
  <c r="E37" i="4"/>
  <c r="P2" i="4"/>
  <c r="M2" i="4"/>
  <c r="S13" i="4" s="1"/>
  <c r="G41" i="12"/>
  <c r="G44" i="12"/>
  <c r="G46" i="12"/>
  <c r="G45" i="12"/>
  <c r="G47" i="12"/>
  <c r="G40" i="12"/>
  <c r="H40" i="12" s="1"/>
  <c r="G42" i="12"/>
  <c r="G43" i="12"/>
  <c r="I9" i="12"/>
  <c r="I8" i="12"/>
  <c r="R13" i="4"/>
  <c r="U13" i="4" s="1"/>
  <c r="Q16" i="4"/>
  <c r="G11" i="4"/>
  <c r="Q11" i="4" s="1"/>
  <c r="H10" i="12"/>
  <c r="E10" i="12"/>
  <c r="R6" i="4"/>
  <c r="E11" i="4"/>
  <c r="E41" i="4" s="1"/>
  <c r="V22" i="4"/>
  <c r="S18" i="4"/>
  <c r="R18" i="4"/>
  <c r="V18" i="4"/>
  <c r="Q23" i="4"/>
  <c r="Q21" i="4"/>
  <c r="Q19" i="4"/>
  <c r="V20" i="4"/>
  <c r="R23" i="4"/>
  <c r="R22" i="4"/>
  <c r="R21" i="4"/>
  <c r="S20" i="4"/>
  <c r="R19" i="4"/>
  <c r="T21" i="4"/>
  <c r="S17" i="4"/>
  <c r="T22" i="4"/>
  <c r="S21" i="4"/>
  <c r="T20" i="4"/>
  <c r="T18" i="4"/>
  <c r="U22" i="4"/>
  <c r="U20" i="4"/>
  <c r="U18" i="4"/>
  <c r="R20" i="4"/>
  <c r="U19" i="4"/>
  <c r="U21" i="4"/>
  <c r="U23" i="4"/>
  <c r="R17" i="4"/>
  <c r="V21" i="4"/>
  <c r="Q18" i="4"/>
  <c r="Q20" i="4"/>
  <c r="Q22" i="4"/>
  <c r="T17" i="4"/>
  <c r="V17" i="4"/>
  <c r="U17" i="4"/>
  <c r="Q17" i="4"/>
  <c r="T10" i="4"/>
  <c r="I5" i="4"/>
  <c r="I7" i="4" s="1"/>
  <c r="Q5" i="4"/>
  <c r="Q10" i="4"/>
  <c r="V10" i="4"/>
  <c r="T4" i="4"/>
  <c r="F11" i="4"/>
  <c r="H11" i="4"/>
  <c r="V4" i="4"/>
  <c r="K5" i="4"/>
  <c r="K7" i="4" s="1"/>
  <c r="I5" i="3"/>
  <c r="K5" i="3" s="1"/>
  <c r="H9" i="12"/>
  <c r="F10" i="12"/>
  <c r="G1" i="12"/>
  <c r="T13" i="4" l="1"/>
  <c r="V13" i="4" s="1"/>
  <c r="E43" i="4"/>
  <c r="E39" i="4"/>
  <c r="E42" i="4"/>
  <c r="H41" i="12"/>
  <c r="H42" i="12" s="1"/>
  <c r="H43" i="12" s="1"/>
  <c r="H44" i="12" s="1"/>
  <c r="H45" i="12" s="1"/>
  <c r="H46" i="12" s="1"/>
  <c r="H47" i="12" s="1"/>
  <c r="Q26" i="4"/>
  <c r="Q27" i="4"/>
  <c r="Q28" i="4"/>
  <c r="Q29" i="4"/>
  <c r="Q30" i="4"/>
  <c r="Q32" i="4"/>
  <c r="Q31" i="4"/>
  <c r="Q33" i="4"/>
  <c r="S23" i="4"/>
  <c r="S22" i="4"/>
  <c r="Q24" i="4"/>
  <c r="Q34" i="4" s="1"/>
  <c r="S19" i="4"/>
  <c r="I11" i="4"/>
  <c r="N5" i="4"/>
  <c r="N7" i="4" s="1"/>
  <c r="M5" i="4"/>
  <c r="P5" i="4"/>
  <c r="V6" i="4"/>
  <c r="O5" i="4"/>
  <c r="O7" i="4" s="1"/>
  <c r="S6" i="4"/>
  <c r="R4" i="4"/>
  <c r="R10" i="4"/>
  <c r="L5" i="4"/>
  <c r="L7" i="4" s="1"/>
  <c r="S10" i="4"/>
  <c r="J5" i="4"/>
  <c r="U4" i="4"/>
  <c r="W4" i="4"/>
  <c r="W5" i="4" s="1"/>
  <c r="I10" i="12"/>
  <c r="H1" i="12"/>
  <c r="G20" i="2"/>
  <c r="G9" i="2"/>
  <c r="H9" i="2"/>
  <c r="I9" i="2"/>
  <c r="J9" i="2"/>
  <c r="K9" i="2"/>
  <c r="L9" i="2"/>
  <c r="M9" i="2"/>
  <c r="N9" i="2"/>
  <c r="O9" i="2"/>
  <c r="P9" i="2"/>
  <c r="Q9" i="2"/>
  <c r="F9" i="2"/>
  <c r="Q2" i="2"/>
  <c r="N2" i="2"/>
  <c r="K2" i="2"/>
  <c r="H2" i="2"/>
  <c r="D5" i="2"/>
  <c r="F5" i="2"/>
  <c r="F27" i="2" s="1"/>
  <c r="R5" i="4" l="1"/>
  <c r="U5" i="4" s="1"/>
  <c r="J7" i="4"/>
  <c r="T5" i="4"/>
  <c r="V5" i="4" s="1"/>
  <c r="P7" i="4"/>
  <c r="S5" i="4"/>
  <c r="M7" i="4"/>
  <c r="Q40" i="4"/>
  <c r="Q36" i="4"/>
  <c r="Q44" i="4"/>
  <c r="Q38" i="4"/>
  <c r="Q42" i="4"/>
  <c r="Q41" i="4"/>
  <c r="Q37" i="4"/>
  <c r="Q43" i="4"/>
  <c r="Q39" i="4"/>
  <c r="T23" i="4"/>
  <c r="R16" i="4"/>
  <c r="V15" i="2"/>
  <c r="X15" i="2" s="1"/>
  <c r="V14" i="2"/>
  <c r="X14" i="2" s="1"/>
  <c r="T14" i="2"/>
  <c r="W14" i="2" s="1"/>
  <c r="U15" i="2"/>
  <c r="S15" i="2"/>
  <c r="S14" i="2"/>
  <c r="T15" i="2"/>
  <c r="W15" i="2" s="1"/>
  <c r="U14" i="2"/>
  <c r="K11" i="4"/>
  <c r="T6" i="4"/>
  <c r="W6" i="4"/>
  <c r="M11" i="4"/>
  <c r="S11" i="4" s="1"/>
  <c r="N11" i="4"/>
  <c r="J11" i="4"/>
  <c r="R11" i="4" s="1"/>
  <c r="U11" i="4" s="1"/>
  <c r="U10" i="4"/>
  <c r="P11" i="4"/>
  <c r="T11" i="4" s="1"/>
  <c r="V11" i="4" s="1"/>
  <c r="L11" i="4"/>
  <c r="O11" i="4"/>
  <c r="W10" i="4"/>
  <c r="W11" i="4" s="1"/>
  <c r="I1" i="12"/>
  <c r="G5" i="2"/>
  <c r="H20" i="2"/>
  <c r="F22" i="2"/>
  <c r="V4" i="2"/>
  <c r="G7" i="12"/>
  <c r="U4" i="2"/>
  <c r="H2" i="10"/>
  <c r="S4" i="2"/>
  <c r="N7" i="10"/>
  <c r="L7" i="10"/>
  <c r="J7" i="10"/>
  <c r="H7" i="10"/>
  <c r="F7" i="10"/>
  <c r="E2" i="10"/>
  <c r="F2" i="10"/>
  <c r="G2" i="10"/>
  <c r="E1" i="10"/>
  <c r="F1" i="10" s="1"/>
  <c r="G1" i="10" s="1"/>
  <c r="H1" i="10" s="1"/>
  <c r="I1" i="10" s="1"/>
  <c r="J1" i="10" s="1"/>
  <c r="K1" i="10" s="1"/>
  <c r="L1" i="10" s="1"/>
  <c r="M1" i="10" s="1"/>
  <c r="N1" i="10" s="1"/>
  <c r="D11" i="9"/>
  <c r="E11" i="9"/>
  <c r="F11" i="9"/>
  <c r="G11" i="9"/>
  <c r="H11" i="9"/>
  <c r="I11" i="9"/>
  <c r="J11" i="9"/>
  <c r="K11" i="9"/>
  <c r="L11" i="9"/>
  <c r="M11" i="9"/>
  <c r="N11" i="9"/>
  <c r="D12" i="9"/>
  <c r="E1" i="9"/>
  <c r="F1" i="9" s="1"/>
  <c r="G1" i="9" s="1"/>
  <c r="H1" i="9" s="1"/>
  <c r="I1" i="9" s="1"/>
  <c r="J1" i="9" s="1"/>
  <c r="K1" i="9" s="1"/>
  <c r="L1" i="9" s="1"/>
  <c r="M1" i="9" s="1"/>
  <c r="N1" i="9" s="1"/>
  <c r="I15" i="9"/>
  <c r="F10" i="9"/>
  <c r="J9" i="9"/>
  <c r="K9" i="9"/>
  <c r="L9" i="9"/>
  <c r="M9" i="9"/>
  <c r="N9" i="9"/>
  <c r="F3" i="9"/>
  <c r="G3" i="9"/>
  <c r="H3" i="9"/>
  <c r="E3" i="9"/>
  <c r="F7" i="7"/>
  <c r="G7" i="7"/>
  <c r="H7" i="7"/>
  <c r="I7" i="7"/>
  <c r="J7" i="7"/>
  <c r="K7" i="7"/>
  <c r="L7" i="7"/>
  <c r="M7" i="7"/>
  <c r="N7" i="7"/>
  <c r="E7" i="7"/>
  <c r="E1" i="7"/>
  <c r="F1" i="7" s="1"/>
  <c r="G1" i="7" s="1"/>
  <c r="H1" i="7" s="1"/>
  <c r="I1" i="7" s="1"/>
  <c r="J1" i="7" s="1"/>
  <c r="K1" i="7" s="1"/>
  <c r="L1" i="7" s="1"/>
  <c r="M1" i="7" s="1"/>
  <c r="N1" i="7" s="1"/>
  <c r="F6" i="6"/>
  <c r="F4" i="6"/>
  <c r="F5" i="6" s="1"/>
  <c r="G3" i="6"/>
  <c r="G4" i="6" s="1"/>
  <c r="G5" i="6" s="1"/>
  <c r="H3" i="6"/>
  <c r="H4" i="6" s="1"/>
  <c r="H5" i="6" s="1"/>
  <c r="I3" i="6"/>
  <c r="I6" i="6" s="1"/>
  <c r="J3" i="6"/>
  <c r="J6" i="6" s="1"/>
  <c r="K3" i="6"/>
  <c r="K4" i="6" s="1"/>
  <c r="K5" i="6" s="1"/>
  <c r="L3" i="6"/>
  <c r="L4" i="6" s="1"/>
  <c r="L5" i="6" s="1"/>
  <c r="M3" i="6"/>
  <c r="M4" i="6" s="1"/>
  <c r="M5" i="6" s="1"/>
  <c r="N3" i="6"/>
  <c r="N6" i="6" s="1"/>
  <c r="E3" i="6"/>
  <c r="E4" i="6" s="1"/>
  <c r="E5" i="6" s="1"/>
  <c r="E1" i="6"/>
  <c r="F1" i="6" s="1"/>
  <c r="G1" i="6" s="1"/>
  <c r="H1" i="6" s="1"/>
  <c r="I1" i="6" s="1"/>
  <c r="J1" i="6" s="1"/>
  <c r="K1" i="6" s="1"/>
  <c r="L1" i="6" s="1"/>
  <c r="M1" i="6" s="1"/>
  <c r="N1" i="6" s="1"/>
  <c r="E3" i="5"/>
  <c r="F3" i="5"/>
  <c r="F4" i="5" s="1"/>
  <c r="F6" i="5" s="1"/>
  <c r="G3" i="5"/>
  <c r="H3" i="5"/>
  <c r="I3" i="5"/>
  <c r="I4" i="5" s="1"/>
  <c r="J3" i="5"/>
  <c r="K3" i="5"/>
  <c r="K4" i="5" s="1"/>
  <c r="L3" i="5"/>
  <c r="L4" i="5" s="1"/>
  <c r="M3" i="5"/>
  <c r="M4" i="5" s="1"/>
  <c r="N3" i="5"/>
  <c r="N4" i="5" s="1"/>
  <c r="E1" i="5"/>
  <c r="J4" i="6" l="1"/>
  <c r="J5" i="6" s="1"/>
  <c r="G4" i="5"/>
  <c r="G6" i="5" s="1"/>
  <c r="J4" i="5"/>
  <c r="J6" i="5" s="1"/>
  <c r="N6" i="5"/>
  <c r="K6" i="5"/>
  <c r="L6" i="5"/>
  <c r="H4" i="5"/>
  <c r="H6" i="5" s="1"/>
  <c r="N4" i="6"/>
  <c r="N5" i="6" s="1"/>
  <c r="E4" i="5"/>
  <c r="E6" i="5" s="1"/>
  <c r="I4" i="6"/>
  <c r="I5" i="6" s="1"/>
  <c r="L6" i="6"/>
  <c r="H6" i="6"/>
  <c r="E6" i="6"/>
  <c r="K6" i="6"/>
  <c r="G6" i="6"/>
  <c r="M6" i="6"/>
  <c r="M6" i="5"/>
  <c r="I6" i="5"/>
  <c r="H5" i="2"/>
  <c r="H27" i="2" s="1"/>
  <c r="G27" i="2"/>
  <c r="R26" i="4"/>
  <c r="R27" i="4"/>
  <c r="R28" i="4"/>
  <c r="R29" i="4"/>
  <c r="R30" i="4"/>
  <c r="R31" i="4"/>
  <c r="R32" i="4"/>
  <c r="R33" i="4"/>
  <c r="V23" i="4"/>
  <c r="T19" i="4"/>
  <c r="V19" i="4"/>
  <c r="U16" i="4"/>
  <c r="H23" i="2"/>
  <c r="I20" i="2"/>
  <c r="S20" i="2"/>
  <c r="F23" i="2"/>
  <c r="S5" i="2"/>
  <c r="S27" i="2" s="1"/>
  <c r="E15" i="9"/>
  <c r="I5" i="2" l="1"/>
  <c r="I27" i="2" s="1"/>
  <c r="U26" i="4"/>
  <c r="U27" i="4"/>
  <c r="U28" i="4"/>
  <c r="U29" i="4"/>
  <c r="U30" i="4"/>
  <c r="U31" i="4"/>
  <c r="U32" i="4"/>
  <c r="U33" i="4"/>
  <c r="U24" i="4"/>
  <c r="U34" i="4" s="1"/>
  <c r="R24" i="4"/>
  <c r="E9" i="10"/>
  <c r="E14" i="9"/>
  <c r="G23" i="2"/>
  <c r="F8" i="9" s="1"/>
  <c r="G22" i="2"/>
  <c r="F7" i="9" s="1"/>
  <c r="I23" i="2"/>
  <c r="H22" i="2"/>
  <c r="G7" i="9" s="1"/>
  <c r="S21" i="2"/>
  <c r="S23" i="2" s="1"/>
  <c r="J20" i="2"/>
  <c r="I22" i="2"/>
  <c r="H7" i="9" s="1"/>
  <c r="J5" i="2"/>
  <c r="J27" i="2" s="1"/>
  <c r="W4" i="2"/>
  <c r="W5" i="2" s="1"/>
  <c r="I3" i="9"/>
  <c r="I2" i="10"/>
  <c r="F9" i="9"/>
  <c r="G9" i="9"/>
  <c r="H9" i="9"/>
  <c r="I9" i="9"/>
  <c r="E9" i="9"/>
  <c r="E7" i="9"/>
  <c r="U40" i="4" l="1"/>
  <c r="U42" i="4"/>
  <c r="U36" i="4"/>
  <c r="U44" i="4"/>
  <c r="U38" i="4"/>
  <c r="R34" i="4"/>
  <c r="R39" i="4"/>
  <c r="R43" i="4"/>
  <c r="R36" i="4"/>
  <c r="R44" i="4"/>
  <c r="R37" i="4"/>
  <c r="R41" i="4"/>
  <c r="R38" i="4"/>
  <c r="R42" i="4"/>
  <c r="R40" i="4"/>
  <c r="U41" i="4"/>
  <c r="U37" i="4"/>
  <c r="U43" i="4"/>
  <c r="U39" i="4"/>
  <c r="G14" i="9"/>
  <c r="S22" i="2"/>
  <c r="J23" i="2"/>
  <c r="K20" i="2"/>
  <c r="W20" i="2" s="1"/>
  <c r="E10" i="9"/>
  <c r="J3" i="9"/>
  <c r="J2" i="10"/>
  <c r="T4" i="2"/>
  <c r="H8" i="9"/>
  <c r="G10" i="9"/>
  <c r="K5" i="2"/>
  <c r="K27" i="2" s="1"/>
  <c r="G8" i="9"/>
  <c r="F12" i="9"/>
  <c r="F13" i="9" s="1"/>
  <c r="G12" i="9"/>
  <c r="G13" i="9" s="1"/>
  <c r="F1" i="5"/>
  <c r="G1" i="5" s="1"/>
  <c r="H1" i="5" s="1"/>
  <c r="I1" i="5" s="1"/>
  <c r="J1" i="5" s="1"/>
  <c r="K1" i="5" s="1"/>
  <c r="L1" i="5" s="1"/>
  <c r="M1" i="5" s="1"/>
  <c r="N1" i="5" s="1"/>
  <c r="S24" i="4" l="1"/>
  <c r="S16" i="4"/>
  <c r="J22" i="2"/>
  <c r="I7" i="9" s="1"/>
  <c r="F15" i="9"/>
  <c r="E16" i="9"/>
  <c r="F9" i="10"/>
  <c r="G9" i="10"/>
  <c r="F14" i="9"/>
  <c r="H14" i="9"/>
  <c r="H9" i="10"/>
  <c r="K22" i="2"/>
  <c r="J4" i="9"/>
  <c r="J5" i="9"/>
  <c r="T20" i="2"/>
  <c r="K23" i="2"/>
  <c r="L20" i="2"/>
  <c r="T5" i="2"/>
  <c r="L5" i="2"/>
  <c r="L27" i="2" s="1"/>
  <c r="H10" i="9"/>
  <c r="E12" i="9"/>
  <c r="E13" i="9" s="1"/>
  <c r="K2" i="10"/>
  <c r="K3" i="9"/>
  <c r="I5" i="10"/>
  <c r="I5" i="9"/>
  <c r="H5" i="9"/>
  <c r="H5" i="10"/>
  <c r="G5" i="10"/>
  <c r="G5" i="9"/>
  <c r="F5" i="10"/>
  <c r="F5" i="9"/>
  <c r="E5" i="9"/>
  <c r="E5" i="10"/>
  <c r="E4" i="10"/>
  <c r="E4" i="9"/>
  <c r="G4" i="9"/>
  <c r="G4" i="10"/>
  <c r="I4" i="9"/>
  <c r="I4" i="10"/>
  <c r="H4" i="9"/>
  <c r="H4" i="10"/>
  <c r="F4" i="10"/>
  <c r="F4" i="9"/>
  <c r="U5" i="2" l="1"/>
  <c r="T27" i="2"/>
  <c r="S26" i="4"/>
  <c r="S27" i="4"/>
  <c r="S28" i="4"/>
  <c r="S29" i="4"/>
  <c r="S30" i="4"/>
  <c r="S31" i="4"/>
  <c r="S32" i="4"/>
  <c r="S33" i="4"/>
  <c r="S34" i="4"/>
  <c r="S36" i="4"/>
  <c r="S37" i="4"/>
  <c r="S38" i="4"/>
  <c r="S39" i="4"/>
  <c r="S40" i="4"/>
  <c r="S41" i="4"/>
  <c r="S42" i="4"/>
  <c r="S43" i="4"/>
  <c r="S44" i="4"/>
  <c r="W21" i="2"/>
  <c r="W23" i="2" s="1"/>
  <c r="H15" i="9"/>
  <c r="I9" i="10"/>
  <c r="I14" i="9"/>
  <c r="T21" i="2"/>
  <c r="T23" i="2" s="1"/>
  <c r="K5" i="9"/>
  <c r="J7" i="9"/>
  <c r="M20" i="2"/>
  <c r="L22" i="2"/>
  <c r="K7" i="9" s="1"/>
  <c r="M5" i="2"/>
  <c r="M27" i="2" s="1"/>
  <c r="J5" i="10"/>
  <c r="J4" i="10"/>
  <c r="I10" i="9"/>
  <c r="I8" i="9"/>
  <c r="L3" i="9"/>
  <c r="L2" i="10"/>
  <c r="H12" i="9"/>
  <c r="H13" i="9" s="1"/>
  <c r="V5" i="2" l="1"/>
  <c r="V27" i="2" s="1"/>
  <c r="U27" i="2"/>
  <c r="W26" i="4"/>
  <c r="W27" i="4"/>
  <c r="W28" i="4"/>
  <c r="W29" i="4"/>
  <c r="W30" i="4"/>
  <c r="W31" i="4"/>
  <c r="W32" i="4"/>
  <c r="W33" i="4"/>
  <c r="W34" i="4"/>
  <c r="W36" i="4"/>
  <c r="W37" i="4"/>
  <c r="W38" i="4"/>
  <c r="W39" i="4"/>
  <c r="W40" i="4"/>
  <c r="W41" i="4"/>
  <c r="W42" i="4"/>
  <c r="W43" i="4"/>
  <c r="W44" i="4"/>
  <c r="W22" i="2"/>
  <c r="J15" i="9"/>
  <c r="G15" i="9"/>
  <c r="F16" i="9"/>
  <c r="J14" i="9"/>
  <c r="J9" i="10"/>
  <c r="G8" i="12"/>
  <c r="L5" i="9"/>
  <c r="T22" i="2"/>
  <c r="N20" i="2"/>
  <c r="M23" i="2"/>
  <c r="L23" i="2"/>
  <c r="N5" i="2"/>
  <c r="N27" i="2" s="1"/>
  <c r="L4" i="10"/>
  <c r="K5" i="10"/>
  <c r="K4" i="9"/>
  <c r="K4" i="10"/>
  <c r="J10" i="9"/>
  <c r="J12" i="9"/>
  <c r="J13" i="9" s="1"/>
  <c r="J8" i="9"/>
  <c r="I12" i="9"/>
  <c r="I13" i="9" s="1"/>
  <c r="T24" i="4" l="1"/>
  <c r="T16" i="4"/>
  <c r="K14" i="9"/>
  <c r="K9" i="10"/>
  <c r="G16" i="9"/>
  <c r="N22" i="2"/>
  <c r="M22" i="2"/>
  <c r="L7" i="9" s="1"/>
  <c r="O20" i="2"/>
  <c r="U20" i="2"/>
  <c r="L5" i="10"/>
  <c r="L4" i="9"/>
  <c r="K10" i="9"/>
  <c r="K8" i="9"/>
  <c r="K12" i="9"/>
  <c r="K13" i="9" s="1"/>
  <c r="O5" i="2"/>
  <c r="O27" i="2" s="1"/>
  <c r="T26" i="4" l="1"/>
  <c r="T27" i="4"/>
  <c r="T28" i="4"/>
  <c r="T29" i="4"/>
  <c r="T30" i="4"/>
  <c r="T31" i="4"/>
  <c r="T32" i="4"/>
  <c r="T33" i="4"/>
  <c r="T34" i="4"/>
  <c r="T36" i="4"/>
  <c r="T37" i="4"/>
  <c r="T38" i="4"/>
  <c r="T39" i="4"/>
  <c r="T40" i="4"/>
  <c r="T41" i="4"/>
  <c r="T42" i="4"/>
  <c r="T43" i="4"/>
  <c r="T44" i="4"/>
  <c r="V16" i="4"/>
  <c r="V24" i="4"/>
  <c r="U21" i="2"/>
  <c r="U23" i="2" s="1"/>
  <c r="H16" i="9"/>
  <c r="L14" i="9"/>
  <c r="L9" i="10"/>
  <c r="N23" i="2"/>
  <c r="P20" i="2"/>
  <c r="O22" i="2"/>
  <c r="P5" i="2"/>
  <c r="P27" i="2" s="1"/>
  <c r="L8" i="9"/>
  <c r="L10" i="9"/>
  <c r="L12" i="9"/>
  <c r="L13" i="9" s="1"/>
  <c r="M2" i="10"/>
  <c r="M3" i="9"/>
  <c r="V26" i="4" l="1"/>
  <c r="V27" i="4"/>
  <c r="V28" i="4"/>
  <c r="V29" i="4"/>
  <c r="V30" i="4"/>
  <c r="V31" i="4"/>
  <c r="V32" i="4"/>
  <c r="V33" i="4"/>
  <c r="V34" i="4"/>
  <c r="V36" i="4"/>
  <c r="V37" i="4"/>
  <c r="V38" i="4"/>
  <c r="V39" i="4"/>
  <c r="V40" i="4"/>
  <c r="V41" i="4"/>
  <c r="V42" i="4"/>
  <c r="V43" i="4"/>
  <c r="V44" i="4"/>
  <c r="U22" i="2"/>
  <c r="M9" i="10"/>
  <c r="M14" i="9"/>
  <c r="I16" i="9"/>
  <c r="N14" i="9"/>
  <c r="N9" i="10"/>
  <c r="K15" i="9"/>
  <c r="M4" i="10"/>
  <c r="M5" i="9"/>
  <c r="P22" i="2"/>
  <c r="M7" i="9" s="1"/>
  <c r="Q20" i="2"/>
  <c r="V20" i="2" s="1"/>
  <c r="P23" i="2"/>
  <c r="M8" i="9" s="1"/>
  <c r="V21" i="2"/>
  <c r="O23" i="2"/>
  <c r="X21" i="2"/>
  <c r="Y21" i="2"/>
  <c r="Q5" i="2"/>
  <c r="Q27" i="2" s="1"/>
  <c r="M12" i="9"/>
  <c r="M13" i="9" s="1"/>
  <c r="M10" i="9"/>
  <c r="N2" i="10"/>
  <c r="N3" i="9"/>
  <c r="Y4" i="2"/>
  <c r="X4" i="2"/>
  <c r="X5" i="2" s="1"/>
  <c r="Z6" i="2" l="1"/>
  <c r="R6" i="2"/>
  <c r="Y5" i="2"/>
  <c r="G4" i="12"/>
  <c r="L15" i="9"/>
  <c r="J16" i="9"/>
  <c r="N15" i="9"/>
  <c r="N5" i="10"/>
  <c r="N4" i="9"/>
  <c r="V23" i="2"/>
  <c r="V22" i="2"/>
  <c r="Q23" i="2"/>
  <c r="N8" i="9" s="1"/>
  <c r="Q22" i="2"/>
  <c r="Y20" i="2"/>
  <c r="Y23" i="2" s="1"/>
  <c r="X20" i="2"/>
  <c r="X22" i="2" s="1"/>
  <c r="M5" i="10"/>
  <c r="M4" i="9"/>
  <c r="N10" i="9"/>
  <c r="N12" i="9"/>
  <c r="N13" i="9" s="1"/>
  <c r="G9" i="12" l="1"/>
  <c r="G10" i="12"/>
  <c r="N4" i="10"/>
  <c r="N5" i="9"/>
  <c r="K16" i="9"/>
  <c r="M15" i="9"/>
  <c r="X23" i="2"/>
  <c r="Y22" i="2"/>
  <c r="N7" i="9"/>
  <c r="M16" i="9" l="1"/>
  <c r="L16" i="9"/>
  <c r="E8" i="9"/>
  <c r="N16" i="9" l="1"/>
  <c r="E3" i="10" l="1"/>
  <c r="M3" i="10"/>
  <c r="H3" i="10"/>
  <c r="F6" i="9"/>
  <c r="F3" i="10"/>
  <c r="I6" i="9"/>
  <c r="L6" i="9"/>
  <c r="N3" i="10"/>
  <c r="J3" i="10"/>
  <c r="K6" i="9"/>
  <c r="E6" i="9" l="1"/>
  <c r="M6" i="9"/>
  <c r="N6" i="9"/>
  <c r="H6" i="9"/>
  <c r="K3" i="10"/>
  <c r="I3" i="10"/>
  <c r="G3" i="10"/>
  <c r="L3" i="10"/>
  <c r="J6" i="9"/>
  <c r="G6" i="9"/>
  <c r="G73" i="4"/>
  <c r="G74" i="4" l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87" i="4" s="1"/>
  <c r="G88" i="4" s="1"/>
  <c r="G89" i="4" s="1"/>
  <c r="G90" i="4" s="1"/>
  <c r="G91" i="4" s="1"/>
  <c r="G92" i="4" s="1"/>
  <c r="G93" i="4" s="1"/>
  <c r="G94" i="4" s="1"/>
  <c r="G95" i="4" s="1"/>
  <c r="G96" i="4" s="1"/>
  <c r="G97" i="4" s="1"/>
  <c r="G98" i="4" s="1"/>
  <c r="G99" i="4" s="1"/>
  <c r="G100" i="4" s="1"/>
  <c r="G101" i="4" s="1"/>
  <c r="G102" i="4" s="1"/>
  <c r="G103" i="4" s="1"/>
  <c r="G104" i="4" s="1"/>
  <c r="G105" i="4" s="1"/>
  <c r="G106" i="4" s="1"/>
  <c r="G107" i="4" s="1"/>
  <c r="G108" i="4" s="1"/>
  <c r="G109" i="4" s="1"/>
  <c r="G110" i="4" s="1"/>
  <c r="G111" i="4" s="1"/>
  <c r="G112" i="4" s="1"/>
  <c r="G113" i="4" s="1"/>
  <c r="G114" i="4" s="1"/>
  <c r="G115" i="4" s="1"/>
  <c r="G116" i="4" s="1"/>
  <c r="G117" i="4" s="1"/>
  <c r="G118" i="4" s="1"/>
  <c r="G119" i="4" s="1"/>
  <c r="G120" i="4" s="1"/>
  <c r="G121" i="4" s="1"/>
  <c r="G122" i="4" s="1"/>
  <c r="G123" i="4" s="1"/>
  <c r="G124" i="4" s="1"/>
  <c r="G125" i="4" s="1"/>
  <c r="G126" i="4" s="1"/>
  <c r="G127" i="4" s="1"/>
  <c r="G128" i="4" s="1"/>
  <c r="G129" i="4" s="1"/>
  <c r="G130" i="4" s="1"/>
  <c r="G131" i="4" s="1"/>
  <c r="G132" i="4" s="1"/>
  <c r="G133" i="4" s="1"/>
  <c r="G134" i="4" s="1"/>
  <c r="G135" i="4" s="1"/>
  <c r="G136" i="4" s="1"/>
  <c r="G137" i="4" s="1"/>
  <c r="G138" i="4" s="1"/>
  <c r="G139" i="4" s="1"/>
  <c r="G140" i="4" s="1"/>
  <c r="G141" i="4" s="1"/>
  <c r="H138" i="4"/>
  <c r="K139" i="4" s="1"/>
  <c r="H136" i="4"/>
  <c r="K137" i="4" s="1"/>
  <c r="H139" i="4"/>
  <c r="K140" i="4" s="1"/>
  <c r="H134" i="4"/>
  <c r="K135" i="4" s="1"/>
  <c r="H135" i="4"/>
  <c r="K136" i="4" s="1"/>
  <c r="I71" i="4" l="1"/>
  <c r="H140" i="4"/>
  <c r="K141" i="4" s="1"/>
  <c r="H73" i="4"/>
  <c r="K74" i="4" s="1"/>
  <c r="H74" i="4"/>
  <c r="K75" i="4" s="1"/>
  <c r="H75" i="4"/>
  <c r="K76" i="4" s="1"/>
  <c r="H141" i="4"/>
  <c r="H76" i="4"/>
  <c r="K77" i="4" s="1"/>
  <c r="H78" i="4"/>
  <c r="K79" i="4" s="1"/>
  <c r="H77" i="4"/>
  <c r="K78" i="4" s="1"/>
  <c r="H79" i="4"/>
  <c r="K80" i="4" s="1"/>
  <c r="H80" i="4"/>
  <c r="K81" i="4" s="1"/>
  <c r="H81" i="4"/>
  <c r="K82" i="4" s="1"/>
  <c r="H82" i="4"/>
  <c r="K83" i="4" s="1"/>
  <c r="H84" i="4"/>
  <c r="K85" i="4" s="1"/>
  <c r="H83" i="4"/>
  <c r="K84" i="4" s="1"/>
  <c r="H85" i="4"/>
  <c r="K86" i="4" s="1"/>
  <c r="H86" i="4"/>
  <c r="K87" i="4" s="1"/>
  <c r="H88" i="4"/>
  <c r="K89" i="4" s="1"/>
  <c r="H87" i="4"/>
  <c r="K88" i="4" s="1"/>
  <c r="H89" i="4"/>
  <c r="K90" i="4" s="1"/>
  <c r="H91" i="4"/>
  <c r="K92" i="4" s="1"/>
  <c r="H90" i="4"/>
  <c r="K91" i="4" s="1"/>
  <c r="H93" i="4"/>
  <c r="K94" i="4" s="1"/>
  <c r="H92" i="4"/>
  <c r="K93" i="4" s="1"/>
  <c r="H94" i="4"/>
  <c r="K95" i="4" s="1"/>
  <c r="H97" i="4"/>
  <c r="K98" i="4" s="1"/>
  <c r="H96" i="4"/>
  <c r="K97" i="4" s="1"/>
  <c r="H95" i="4"/>
  <c r="K96" i="4" s="1"/>
  <c r="H101" i="4"/>
  <c r="K102" i="4" s="1"/>
  <c r="H100" i="4"/>
  <c r="K101" i="4" s="1"/>
  <c r="H99" i="4"/>
  <c r="K100" i="4" s="1"/>
  <c r="H98" i="4"/>
  <c r="K99" i="4" s="1"/>
  <c r="H103" i="4"/>
  <c r="K104" i="4" s="1"/>
  <c r="H104" i="4"/>
  <c r="K105" i="4" s="1"/>
  <c r="H102" i="4"/>
  <c r="K103" i="4" s="1"/>
  <c r="H105" i="4"/>
  <c r="K106" i="4" s="1"/>
  <c r="H106" i="4"/>
  <c r="K107" i="4" s="1"/>
  <c r="H107" i="4"/>
  <c r="K108" i="4" s="1"/>
  <c r="H108" i="4"/>
  <c r="K109" i="4" s="1"/>
  <c r="H109" i="4"/>
  <c r="K110" i="4" s="1"/>
  <c r="H110" i="4"/>
  <c r="K111" i="4" s="1"/>
  <c r="H112" i="4"/>
  <c r="K113" i="4" s="1"/>
  <c r="H115" i="4"/>
  <c r="K116" i="4" s="1"/>
  <c r="H111" i="4"/>
  <c r="K112" i="4" s="1"/>
  <c r="H114" i="4"/>
  <c r="K115" i="4" s="1"/>
  <c r="H113" i="4"/>
  <c r="K114" i="4" s="1"/>
  <c r="H117" i="4"/>
  <c r="K118" i="4" s="1"/>
  <c r="H116" i="4"/>
  <c r="K117" i="4" s="1"/>
  <c r="H120" i="4"/>
  <c r="K121" i="4" s="1"/>
  <c r="H119" i="4"/>
  <c r="K120" i="4" s="1"/>
  <c r="H118" i="4"/>
  <c r="K119" i="4" s="1"/>
  <c r="H123" i="4"/>
  <c r="K124" i="4" s="1"/>
  <c r="H122" i="4"/>
  <c r="K123" i="4" s="1"/>
  <c r="H121" i="4"/>
  <c r="K122" i="4" s="1"/>
  <c r="H124" i="4"/>
  <c r="K125" i="4" s="1"/>
  <c r="H125" i="4"/>
  <c r="K126" i="4" s="1"/>
  <c r="H126" i="4"/>
  <c r="K127" i="4" s="1"/>
  <c r="H127" i="4"/>
  <c r="K128" i="4" s="1"/>
  <c r="H130" i="4"/>
  <c r="K131" i="4" s="1"/>
  <c r="H128" i="4"/>
  <c r="K129" i="4" s="1"/>
  <c r="H129" i="4"/>
  <c r="K130" i="4" s="1"/>
  <c r="H133" i="4"/>
  <c r="K134" i="4" s="1"/>
  <c r="H131" i="4"/>
  <c r="K132" i="4" s="1"/>
  <c r="H137" i="4"/>
  <c r="K138" i="4" s="1"/>
  <c r="H132" i="4"/>
  <c r="K133" i="4" s="1"/>
  <c r="I138" i="4" l="1"/>
  <c r="I139" i="4"/>
  <c r="I135" i="4"/>
  <c r="I132" i="4"/>
  <c r="I137" i="4"/>
  <c r="I140" i="4" l="1"/>
  <c r="I72" i="4"/>
  <c r="I141" i="4"/>
  <c r="I73" i="4"/>
  <c r="I74" i="4"/>
  <c r="I76" i="4"/>
  <c r="I75" i="4"/>
  <c r="I77" i="4"/>
  <c r="I79" i="4"/>
  <c r="I78" i="4"/>
  <c r="I80" i="4"/>
  <c r="I81" i="4"/>
  <c r="I83" i="4"/>
  <c r="I82" i="4"/>
  <c r="I84" i="4"/>
  <c r="I85" i="4"/>
  <c r="I86" i="4"/>
  <c r="I87" i="4"/>
  <c r="I88" i="4"/>
  <c r="I89" i="4"/>
  <c r="I90" i="4"/>
  <c r="I91" i="4"/>
  <c r="I93" i="4"/>
  <c r="I92" i="4"/>
  <c r="I94" i="4"/>
  <c r="I95" i="4"/>
  <c r="I96" i="4"/>
  <c r="I99" i="4"/>
  <c r="I97" i="4"/>
  <c r="I98" i="4"/>
  <c r="I100" i="4"/>
  <c r="I101" i="4"/>
  <c r="I103" i="4"/>
  <c r="I102" i="4"/>
  <c r="I104" i="4"/>
  <c r="I106" i="4"/>
  <c r="I107" i="4"/>
  <c r="I105" i="4"/>
  <c r="I109" i="4"/>
  <c r="I108" i="4"/>
  <c r="I111" i="4"/>
  <c r="I113" i="4"/>
  <c r="I110" i="4"/>
  <c r="I112" i="4"/>
  <c r="I114" i="4"/>
  <c r="I117" i="4"/>
  <c r="I116" i="4"/>
  <c r="I115" i="4"/>
  <c r="I118" i="4"/>
  <c r="I119" i="4"/>
  <c r="I120" i="4"/>
  <c r="I121" i="4"/>
  <c r="I122" i="4"/>
  <c r="I124" i="4"/>
  <c r="I123" i="4"/>
  <c r="I125" i="4"/>
  <c r="I128" i="4"/>
  <c r="I127" i="4"/>
  <c r="I126" i="4"/>
  <c r="I129" i="4"/>
  <c r="I130" i="4"/>
  <c r="I133" i="4"/>
  <c r="I131" i="4"/>
  <c r="I136" i="4"/>
  <c r="I134" i="4"/>
</calcChain>
</file>

<file path=xl/comments1.xml><?xml version="1.0" encoding="utf-8"?>
<comments xmlns="http://schemas.openxmlformats.org/spreadsheetml/2006/main">
  <authors>
    <author>IAD</author>
  </authors>
  <commentList>
    <comment ref="M103" authorId="0">
      <text>
        <r>
          <rPr>
            <sz val="9"/>
            <color indexed="81"/>
            <rFont val="Tahoma"/>
            <family val="2"/>
          </rPr>
          <t xml:space="preserve">Hypothèse : cacul des gains à fin de mois.
</t>
        </r>
      </text>
    </comment>
  </commentList>
</comments>
</file>

<file path=xl/comments2.xml><?xml version="1.0" encoding="utf-8"?>
<comments xmlns="http://schemas.openxmlformats.org/spreadsheetml/2006/main">
  <authors>
    <author>IAD</author>
  </authors>
  <commentList>
    <comment ref="D16" authorId="0">
      <text>
        <r>
          <rPr>
            <b/>
            <sz val="9"/>
            <color indexed="81"/>
            <rFont val="Tahoma"/>
            <family val="2"/>
          </rPr>
          <t>Objectif gains : % périmètre traitable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IAD</author>
  </authors>
  <commentList>
    <comment ref="D5" authorId="0">
      <text>
        <r>
          <rPr>
            <sz val="9"/>
            <color indexed="81"/>
            <rFont val="Tahoma"/>
            <family val="2"/>
          </rPr>
          <t xml:space="preserve">Part actions (nb) mutualisées (synergie établissements) P.A.A.T. sur total
</t>
        </r>
      </text>
    </comment>
  </commentList>
</comments>
</file>

<file path=xl/comments4.xml><?xml version="1.0" encoding="utf-8"?>
<comments xmlns="http://schemas.openxmlformats.org/spreadsheetml/2006/main">
  <authors>
    <author>IAD</author>
  </authors>
  <commentList>
    <comment ref="E1" authorId="0">
      <text>
        <r>
          <rPr>
            <sz val="9"/>
            <color indexed="81"/>
            <rFont val="Tahoma"/>
            <family val="2"/>
          </rPr>
          <t>1ere année de la période de contrôle Ajuster en fonction de l'année N et de la plage d'années souhaitée.</t>
        </r>
      </text>
    </comment>
  </commentList>
</comments>
</file>

<file path=xl/comments5.xml><?xml version="1.0" encoding="utf-8"?>
<comments xmlns="http://schemas.openxmlformats.org/spreadsheetml/2006/main">
  <authors>
    <author>IAD</author>
  </authors>
  <commentList>
    <comment ref="E1" authorId="0">
      <text>
        <r>
          <rPr>
            <sz val="9"/>
            <color indexed="81"/>
            <rFont val="Tahoma"/>
            <family val="2"/>
          </rPr>
          <t>1ere année de la période de contrôle Ajuster en fonction de l'année N et de la plage d'années souhaitée.</t>
        </r>
      </text>
    </comment>
  </commentList>
</comments>
</file>

<file path=xl/comments6.xml><?xml version="1.0" encoding="utf-8"?>
<comments xmlns="http://schemas.openxmlformats.org/spreadsheetml/2006/main">
  <authors>
    <author>IAD</author>
  </authors>
  <commentList>
    <comment ref="E1" authorId="0">
      <text>
        <r>
          <rPr>
            <sz val="9"/>
            <color indexed="81"/>
            <rFont val="Tahoma"/>
            <family val="2"/>
          </rPr>
          <t>1ere année de la période de contrôle Ajuster en fonction de l'année N et de la plage d'années souhaitée.</t>
        </r>
      </text>
    </comment>
  </commentList>
</comments>
</file>

<file path=xl/comments7.xml><?xml version="1.0" encoding="utf-8"?>
<comments xmlns="http://schemas.openxmlformats.org/spreadsheetml/2006/main">
  <authors>
    <author>IAD</author>
  </authors>
  <commentList>
    <comment ref="E1" authorId="0">
      <text>
        <r>
          <rPr>
            <sz val="9"/>
            <color indexed="81"/>
            <rFont val="Tahoma"/>
            <family val="2"/>
          </rPr>
          <t>1ere année de la période de contrôle Ajuster en fonction de l'année N et de la plage d'années souhaitée.</t>
        </r>
      </text>
    </comment>
  </commentList>
</comments>
</file>

<file path=xl/sharedStrings.xml><?xml version="1.0" encoding="utf-8"?>
<sst xmlns="http://schemas.openxmlformats.org/spreadsheetml/2006/main" count="606" uniqueCount="373">
  <si>
    <t>Performance Achat</t>
  </si>
  <si>
    <t>Périmètre traitable</t>
  </si>
  <si>
    <t>Périmètre traité</t>
  </si>
  <si>
    <t>% réalisation de l'objectif gain</t>
  </si>
  <si>
    <t>Montant moyen d'une commande</t>
  </si>
  <si>
    <t>Déployé</t>
  </si>
  <si>
    <t>Peu déployé</t>
  </si>
  <si>
    <t>Obligatoire</t>
  </si>
  <si>
    <t>T2A</t>
  </si>
  <si>
    <t>Année</t>
  </si>
  <si>
    <t>A développer</t>
  </si>
  <si>
    <t>Politique achat connue et partagée par les acteurs du process achat</t>
  </si>
  <si>
    <t>N°Indicateurs</t>
  </si>
  <si>
    <t>Nb de comités de pilotage stratégique achat/opérationnel achat tenus dans l'année</t>
  </si>
  <si>
    <t>Part des actions communes/Actions totales du PAAT</t>
  </si>
  <si>
    <t>Facultatif</t>
  </si>
  <si>
    <t>PARAMETRAGES</t>
  </si>
  <si>
    <t>Année N</t>
  </si>
  <si>
    <t>Taux de mutualisation en valeur (€) : taux de recours à des marchés mutualisés (via un opérateur tiers au GHT)</t>
  </si>
  <si>
    <t>Obligatoire (dès 2018)</t>
  </si>
  <si>
    <t>Taux de mutualisation régionale en valeur (€)</t>
  </si>
  <si>
    <t>Taux de mutualisation nationale en valeur (€)</t>
  </si>
  <si>
    <t>Nombre de lignes de commandes/Gestionnaire de commande</t>
  </si>
  <si>
    <t>Nombre de lignes de liquidation/Gestionnaire de liquidation</t>
  </si>
  <si>
    <t>Nombre de marchés/Acheteur</t>
  </si>
  <si>
    <t>Obligatoire/Facultatif</t>
  </si>
  <si>
    <t>Nombre de procédures/Gestionnaire cellule des marchés</t>
  </si>
  <si>
    <t>Nombre d'acheteurs formés</t>
  </si>
  <si>
    <t>Part du budget de formation consacré à l'achat</t>
  </si>
  <si>
    <t>Nombre de dossiers déposés par consultation</t>
  </si>
  <si>
    <t>Nombre de fiches d'évènements indésirables (ou évolution) sur la fonction achat</t>
  </si>
  <si>
    <t>Evaluation des fournisseurs</t>
  </si>
  <si>
    <t>Evaluation des fournisseurs \ par la DA</t>
  </si>
  <si>
    <t>Gains achat (généralisable)</t>
  </si>
  <si>
    <t>% de réalisation de l'objectif de gain</t>
  </si>
  <si>
    <t>Valeur ajoutée (T2A-Total depenses Achats)</t>
  </si>
  <si>
    <t>Poids relatif des achats (Achat/T2A)</t>
  </si>
  <si>
    <t>Distinction gains exploit/gains invest</t>
  </si>
  <si>
    <t>Montant moyen d'un marché</t>
  </si>
  <si>
    <t>Montant moyen du CA fournisseur</t>
  </si>
  <si>
    <t>PAA O/N</t>
  </si>
  <si>
    <t>Existant</t>
  </si>
  <si>
    <t>Gains achat en valeur (€)</t>
  </si>
  <si>
    <t>Gains achat en % de réalisation de  l'objectif fixé</t>
  </si>
  <si>
    <t>Part des Ets ayant remonté des gains achat dans l'année</t>
  </si>
  <si>
    <t>Nombre de groupements régionaux/Nombre de groupements cibles (par région)</t>
  </si>
  <si>
    <t>Taux d'adhésion des GHT aux groupements régionaux/nationaux</t>
  </si>
  <si>
    <t>Part des actions communes/actions totales du PAAT en consolidé</t>
  </si>
  <si>
    <t>% de gains/Périmètre traitable</t>
  </si>
  <si>
    <t>% de gains/Périmètre traité</t>
  </si>
  <si>
    <t>Taux de mutualisation régionale et nationale</t>
  </si>
  <si>
    <t>Evaluation des fournisseurs \ par les utilisateurs internes du GHT</t>
  </si>
  <si>
    <t>Mesure de la satisfaction fournisseur</t>
  </si>
  <si>
    <t>Taux d'évolution T2T3 en pluriannuel</t>
  </si>
  <si>
    <t>Taux d'évolution de la T2A</t>
  </si>
  <si>
    <t>% de gains / Périmètre traitable</t>
  </si>
  <si>
    <t>% de gains / Périmètre traité</t>
  </si>
  <si>
    <t>Gains achat en % du périmètre traité</t>
  </si>
  <si>
    <t>Gains achat en % du périmètre traitable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</si>
  <si>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</si>
  <si>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</si>
  <si>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</si>
  <si>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</si>
  <si>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</si>
  <si>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</si>
  <si>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</si>
  <si>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</si>
  <si>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</si>
  <si>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</si>
  <si>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</si>
  <si>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</si>
  <si>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Sem 1</t>
  </si>
  <si>
    <t>TOTAL</t>
  </si>
  <si>
    <t>Montant gains achat année N</t>
  </si>
  <si>
    <t>CPOM</t>
  </si>
  <si>
    <t>Obj gains d'achat CPOM</t>
  </si>
  <si>
    <t>% Gains investissement / Gains total</t>
  </si>
  <si>
    <t>Objectif</t>
  </si>
  <si>
    <t>Objectif Gains Investissements/Gains Totaux</t>
  </si>
  <si>
    <t>Total dépenses achats</t>
  </si>
  <si>
    <t>GAINS : report de l'année N-1</t>
  </si>
  <si>
    <t>GAINS</t>
  </si>
  <si>
    <t>PERIMETRE TRAITABLE/TRAITE</t>
  </si>
  <si>
    <t>Valeur ajoutée
T2A-Total dépenses achat</t>
  </si>
  <si>
    <t>Poids relatif des achats
achats/T2A</t>
  </si>
  <si>
    <t>Année historique</t>
  </si>
  <si>
    <t>Montant gains achat</t>
  </si>
  <si>
    <t>Ratio d'établissements impliqués dans P.A.A.T. sur total établissements GHT</t>
  </si>
  <si>
    <t>Part actions mutualisées P.A.A.T. sur total</t>
  </si>
  <si>
    <t>Nombre de commandes passées</t>
  </si>
  <si>
    <t>Nombre de commandes passées (cumulé)</t>
  </si>
  <si>
    <t>Nombre de marchés notifiés</t>
  </si>
  <si>
    <t>Nombre de marchés notifiés (cumulé)</t>
  </si>
  <si>
    <t>1_PerfAchats</t>
  </si>
  <si>
    <t>Trimestre</t>
  </si>
  <si>
    <t>Semestre</t>
  </si>
  <si>
    <t>Nombre de commandes par seuil</t>
  </si>
  <si>
    <t>&lt;50</t>
  </si>
  <si>
    <t>&lt;100</t>
  </si>
  <si>
    <t>&lt;200</t>
  </si>
  <si>
    <t>&lt;500</t>
  </si>
  <si>
    <t>&lt;1k€</t>
  </si>
  <si>
    <t>&lt;5k€</t>
  </si>
  <si>
    <t>&lt;10k€</t>
  </si>
  <si>
    <t>&lt;50k€</t>
  </si>
  <si>
    <t>&gt;= 50k€</t>
  </si>
  <si>
    <t>Nombre de commandes par seuil (cumulé)</t>
  </si>
  <si>
    <t>% de commandes par seuil (cumulé)</t>
  </si>
  <si>
    <t>Nb d'E tablissements du GHT</t>
  </si>
  <si>
    <t>Nb d'établissemnt impliqués</t>
  </si>
  <si>
    <t>% de gains /Périmètre traitable (cumulé)</t>
  </si>
  <si>
    <t>% de gains /Périmètre traité (cumulé)</t>
  </si>
  <si>
    <t>Objectif gains : % périmètre traitable</t>
  </si>
  <si>
    <t>Obj. périmètre traitable</t>
  </si>
  <si>
    <t>Obj. périmètre traité</t>
  </si>
  <si>
    <t>Objectif gains : % périmètre traité</t>
  </si>
  <si>
    <t>Total montant gains achat réalisés avec report N-1</t>
  </si>
  <si>
    <t>Objectif annuel CPOM</t>
  </si>
  <si>
    <t>Périodes</t>
  </si>
  <si>
    <t>S1</t>
  </si>
  <si>
    <t>S2</t>
  </si>
  <si>
    <t>Seuils</t>
  </si>
  <si>
    <t>Nb de commandes</t>
  </si>
  <si>
    <t>% cumulé</t>
  </si>
  <si>
    <t>T4-2017</t>
  </si>
  <si>
    <t>Montant moyen d'un marché (sur le mois)</t>
  </si>
  <si>
    <t>UniHA</t>
  </si>
  <si>
    <t>UGAP</t>
  </si>
  <si>
    <t>Resah</t>
  </si>
  <si>
    <t>Groupements régionaux</t>
  </si>
  <si>
    <t>Groupements nationaux</t>
  </si>
  <si>
    <t>GRAPHE : TOTAL/1000000</t>
  </si>
  <si>
    <t>Achats locaux</t>
  </si>
  <si>
    <t>Achats locaux (cumulés)</t>
  </si>
  <si>
    <t>Total achats (cumulés)</t>
  </si>
  <si>
    <t>%Achat locaux/Total achats (cumulés)</t>
  </si>
  <si>
    <t>GRAPHE PARETO</t>
  </si>
  <si>
    <t>Total</t>
  </si>
  <si>
    <t>% Nb de commandes</t>
  </si>
  <si>
    <t>Nb de commandes cumulé</t>
  </si>
  <si>
    <t>Montant moyen d'un marché (cumulé depuis janvier)</t>
  </si>
  <si>
    <t>Montant moyen cumulé d'une commande</t>
  </si>
  <si>
    <t>Volume achat mensuel</t>
  </si>
  <si>
    <t>nombre cumulé commandes</t>
  </si>
  <si>
    <t>% nombre cumulé commandes</t>
  </si>
  <si>
    <t>montant commande individuelle</t>
  </si>
  <si>
    <t>montant cumulé commandes</t>
  </si>
  <si>
    <t>% montant cumulé commandes</t>
  </si>
  <si>
    <t>abscisse</t>
  </si>
  <si>
    <t>ordonnée</t>
  </si>
  <si>
    <t>Tranche seuils</t>
  </si>
  <si>
    <t>Nombre de commandes</t>
  </si>
  <si>
    <t>% de commande par seuil</t>
  </si>
  <si>
    <t>Montant total des commandes</t>
  </si>
  <si>
    <t>% du montant total par seuil</t>
  </si>
  <si>
    <t>Gains réalisés</t>
  </si>
  <si>
    <t>Obj+%</t>
  </si>
  <si>
    <t>Gains investissements</t>
  </si>
  <si>
    <t>Ratio gains : Investissement / Total</t>
  </si>
  <si>
    <t>Politique achat formalisé</t>
  </si>
  <si>
    <t>Politique achat présentée en comité achat GHT</t>
  </si>
  <si>
    <t>Politique achat diffusée aux acteurs du process achat</t>
  </si>
  <si>
    <t>OUI - à la date :</t>
  </si>
  <si>
    <t>NON - à programmer</t>
  </si>
  <si>
    <t>NON - reporté</t>
  </si>
  <si>
    <t>OUI - prévu le :</t>
  </si>
  <si>
    <t>Politique achat présentée au directoire ou comité stratégique GHT</t>
  </si>
  <si>
    <t xml:space="preserve">Communication et diffusion auprès des acteurs du process achat
</t>
  </si>
  <si>
    <t>Gains prév. de l'ensemble des PAAT</t>
  </si>
  <si>
    <t>Gains prév. des actions mutualisées</t>
  </si>
  <si>
    <t>Gains prév. des actions non mutualisées</t>
  </si>
  <si>
    <t>Ratio : Actions mutualisées / Ensemble des actions du PAAT</t>
  </si>
  <si>
    <t>Taux moyen de participation</t>
  </si>
  <si>
    <t>Biomédicale</t>
  </si>
  <si>
    <t>Informatique</t>
  </si>
  <si>
    <t>Médicaments</t>
  </si>
  <si>
    <t>Dispositif médical</t>
  </si>
  <si>
    <t>Transport</t>
  </si>
  <si>
    <t>Travaux/Infrastructure</t>
  </si>
  <si>
    <t>Hôtellerie</t>
  </si>
  <si>
    <t xml:space="preserve">Equipements et fournitures générales </t>
  </si>
  <si>
    <t>Equipements généraux</t>
  </si>
  <si>
    <t>Prestations générales</t>
  </si>
  <si>
    <t>Prestations commerciales</t>
  </si>
  <si>
    <t>Laboratoire</t>
  </si>
  <si>
    <t>Familles</t>
  </si>
  <si>
    <t>Valeur périmètre traitable</t>
  </si>
  <si>
    <t>Pour légende</t>
  </si>
  <si>
    <t>utilisation macro</t>
  </si>
  <si>
    <t>Ind3 - page4</t>
  </si>
  <si>
    <t>Ind2 - page3</t>
  </si>
  <si>
    <t>Ind7 - page8</t>
  </si>
  <si>
    <t>A confirmer / finaliser</t>
  </si>
  <si>
    <t>Recettes</t>
  </si>
  <si>
    <t>Achats</t>
  </si>
  <si>
    <t>Ratio : %Dep / %Rem</t>
  </si>
  <si>
    <t>Ind6 - page7</t>
  </si>
  <si>
    <t>Barre 100%</t>
  </si>
  <si>
    <t>Gains année N+1</t>
  </si>
  <si>
    <t>Ind8 - page9</t>
  </si>
  <si>
    <t>Ind1 - page10</t>
  </si>
  <si>
    <t>Date :</t>
  </si>
  <si>
    <t>2 ème</t>
  </si>
  <si>
    <t>3 ème</t>
  </si>
  <si>
    <t>4 ème</t>
  </si>
  <si>
    <t>5 ème</t>
  </si>
  <si>
    <t>6 ème</t>
  </si>
  <si>
    <t>7 ème</t>
  </si>
  <si>
    <t>8 ème</t>
  </si>
  <si>
    <t>9 ème</t>
  </si>
  <si>
    <t>10 ème</t>
  </si>
  <si>
    <t>11 ème</t>
  </si>
  <si>
    <t>12 ème</t>
  </si>
  <si>
    <t>13 ème</t>
  </si>
  <si>
    <t>14 ème</t>
  </si>
  <si>
    <t>15 ème</t>
  </si>
  <si>
    <t>Comités</t>
  </si>
  <si>
    <t>1 er</t>
  </si>
  <si>
    <t xml:space="preserve"> opérationnels achat)</t>
  </si>
  <si>
    <r>
      <t>Suivi du calendrier</t>
    </r>
    <r>
      <rPr>
        <sz val="9"/>
        <color theme="1"/>
        <rFont val="Calibri"/>
        <family val="2"/>
        <scheme val="minor"/>
      </rPr>
      <t xml:space="preserve"> (comités de pilotage</t>
    </r>
  </si>
  <si>
    <t>Ind2 - page11</t>
  </si>
  <si>
    <t>Ind3-2 - page13</t>
  </si>
  <si>
    <t>% d'actions partiellement mutualisées</t>
  </si>
  <si>
    <t>% d'actions totalement mutualisées</t>
  </si>
  <si>
    <t>Ind3-3- page14</t>
  </si>
  <si>
    <t>ALEA.ENTRE.BORNES(10;20)/100</t>
  </si>
  <si>
    <t>ALEA.ENTRE.BORNES(5;15)/100</t>
  </si>
  <si>
    <t>2017 : Mt HA sans recours à une procédure HA / Mt total des HA du GHT</t>
  </si>
  <si>
    <t>2018 : Mt HA sans recours à une procédure HA / Mt total des HA du GHT</t>
  </si>
  <si>
    <t>Ind4- page18</t>
  </si>
  <si>
    <t>Jan</t>
  </si>
  <si>
    <t>Fev</t>
  </si>
  <si>
    <t>Juil</t>
  </si>
  <si>
    <t>Aout</t>
  </si>
  <si>
    <t>Nov</t>
  </si>
  <si>
    <t>Dec</t>
  </si>
  <si>
    <t>Sept</t>
  </si>
  <si>
    <t>Oct</t>
  </si>
  <si>
    <t>ALEA.ENTRE.BORNES(0;15)</t>
  </si>
  <si>
    <t>ALEA.ENTRE.BORNES(0;10)</t>
  </si>
  <si>
    <t>Ind5- page19</t>
  </si>
  <si>
    <t>Ind6- page20</t>
  </si>
  <si>
    <t>Montant moyen global (tous achats confondus)</t>
  </si>
  <si>
    <t xml:space="preserve">Montant moyen global (hors produits de santé)     </t>
  </si>
  <si>
    <t>ALEA.ENTRE.BORNES(150;300)</t>
  </si>
  <si>
    <t>ALEA.ENTRE.BORNES(150;275)</t>
  </si>
  <si>
    <t>Seuil 250K€</t>
  </si>
  <si>
    <t>Seuil 200K€</t>
  </si>
  <si>
    <t>A confirmer ! Formule cumul annuel?!!</t>
  </si>
  <si>
    <t>Cumul</t>
  </si>
  <si>
    <t>Ind7- page21</t>
  </si>
  <si>
    <t>Seuil 300K€</t>
  </si>
  <si>
    <t>Ind7- page22</t>
  </si>
  <si>
    <t>Gains imputés sur année N</t>
  </si>
  <si>
    <t>Gains total de la période (base 12 mois, hors pro-rata temporis)</t>
  </si>
  <si>
    <t>Mettre pics sur janvier</t>
  </si>
  <si>
    <t>2017 : Nombre de ruptures mensuelles</t>
  </si>
  <si>
    <t>2018 : Nombre de ruptures mensuelles</t>
  </si>
  <si>
    <t>2017 : Nombre de marchés notifiés</t>
  </si>
  <si>
    <t>2015 : Nombre de marchés notifiés</t>
  </si>
  <si>
    <t>2016 : Nombre de marchés notifiés</t>
  </si>
  <si>
    <t>Achats locaux GHT</t>
  </si>
  <si>
    <t>Achats opérateurs régionaux</t>
  </si>
  <si>
    <t>Achat opérateurs nationaux</t>
  </si>
  <si>
    <t>Page28</t>
  </si>
  <si>
    <t>Page29</t>
  </si>
  <si>
    <t>Equipements biomédicaux</t>
  </si>
  <si>
    <t>Equipements non médicaux</t>
  </si>
  <si>
    <t>Maintenance patrimoniale</t>
  </si>
  <si>
    <t>DMS</t>
  </si>
  <si>
    <t>DMNS</t>
  </si>
  <si>
    <t>Fournitures générales</t>
  </si>
  <si>
    <t>Restauration</t>
  </si>
  <si>
    <t>Laboratoire de biologie</t>
  </si>
  <si>
    <t>Energie électrique</t>
  </si>
  <si>
    <t>Page30</t>
  </si>
  <si>
    <t>DASRI</t>
  </si>
  <si>
    <t>DAOM</t>
  </si>
  <si>
    <t>Incontinence</t>
  </si>
  <si>
    <t>Alimentation</t>
  </si>
  <si>
    <t>Dispositifs médicaux</t>
  </si>
  <si>
    <t>Linge</t>
  </si>
  <si>
    <t>Taux de recours global aux opérateurs nationaux</t>
  </si>
  <si>
    <t>Taux de recours global aux opérateurs régionaux</t>
  </si>
  <si>
    <t>DOC TABLEAUX DE BORD - DIR ACHAT</t>
  </si>
  <si>
    <t>GRAPHES SUPPLEMENTAIRES</t>
  </si>
  <si>
    <t>Achats cumul tout GHT</t>
  </si>
  <si>
    <t>Investissement</t>
  </si>
  <si>
    <t>Exploitation</t>
  </si>
  <si>
    <t>Chiffres repris = ceux du doc, divisés par 1000.</t>
  </si>
  <si>
    <t>Achats d'exploitation</t>
  </si>
  <si>
    <t>Etablissement support</t>
  </si>
  <si>
    <t>Etablissement membre1</t>
  </si>
  <si>
    <t>Etablissement membre2</t>
  </si>
  <si>
    <t>Etablissement membre3</t>
  </si>
  <si>
    <t>Etablissement membre4</t>
  </si>
  <si>
    <t>Etablissement membre5</t>
  </si>
  <si>
    <t>Taux de mise en concurrence et de contentieux</t>
  </si>
  <si>
    <t>Appel d'offres ouvert</t>
  </si>
  <si>
    <t>Marché négo sans M.C.P.</t>
  </si>
  <si>
    <t>Hors marché</t>
  </si>
  <si>
    <t>Procédures adaptées</t>
  </si>
  <si>
    <t>Appel d'offres restreint</t>
  </si>
  <si>
    <t>Marché négo après M.C.P.</t>
  </si>
  <si>
    <t>Appel d'offres sur concours</t>
  </si>
  <si>
    <t>Appel d'offres sur perform.</t>
  </si>
  <si>
    <t>Adjudication restreinte</t>
  </si>
  <si>
    <t>Top 10 des CA fournisseurs par filières en exploitation</t>
  </si>
  <si>
    <t>Produits de santé</t>
  </si>
  <si>
    <t>EPS Pyrénées Méditerrannée</t>
  </si>
  <si>
    <t>LFB Biomédicaments</t>
  </si>
  <si>
    <t>Roche Pharma</t>
  </si>
  <si>
    <t>MSD France</t>
  </si>
  <si>
    <t>Medtronics France SAS</t>
  </si>
  <si>
    <t>Baxter S.A.</t>
  </si>
  <si>
    <t>Pfizer SAS</t>
  </si>
  <si>
    <t>Covidien France SAS</t>
  </si>
  <si>
    <t>Alexion Pharma France SAS</t>
  </si>
  <si>
    <t>Top 11-20</t>
  </si>
  <si>
    <t>Autres</t>
  </si>
  <si>
    <t>Celgene</t>
  </si>
  <si>
    <t>Travaux et prestation patrimoniale</t>
  </si>
  <si>
    <t>Purpan Energies Santé</t>
  </si>
  <si>
    <t>Veolia Eau</t>
  </si>
  <si>
    <t>UGAP (Agent CPT)</t>
  </si>
  <si>
    <t>Otis</t>
  </si>
  <si>
    <t>Siemens SAS</t>
  </si>
  <si>
    <t>Air Liquide Santé France</t>
  </si>
  <si>
    <t>Eneriance</t>
  </si>
  <si>
    <t>Spie Sud Ouest</t>
  </si>
  <si>
    <t>Dalkia S.A.</t>
  </si>
  <si>
    <t>Electricité Industrielle JP Fauche</t>
  </si>
  <si>
    <t>Moyens généraux</t>
  </si>
  <si>
    <t>Davigel S.A.</t>
  </si>
  <si>
    <t>Helicap S.A.</t>
  </si>
  <si>
    <t>Veolia Propreté Midi-Pyrénées</t>
  </si>
  <si>
    <t>Vectura SARL</t>
  </si>
  <si>
    <t>SNC du Chapitre</t>
  </si>
  <si>
    <t>La Poste</t>
  </si>
  <si>
    <t>L'Appel Médical</t>
  </si>
  <si>
    <t>Pro à Pro Distribution</t>
  </si>
  <si>
    <t>Elior Services Propreté et Santé</t>
  </si>
  <si>
    <t>Ebrard Cabinet S.A.</t>
  </si>
  <si>
    <t>Informatique et biomédical</t>
  </si>
  <si>
    <t>MiPih</t>
  </si>
  <si>
    <t>Roche Diagnostics S.A.</t>
  </si>
  <si>
    <t>EFS Pyrénées Méditerrannée</t>
  </si>
  <si>
    <t>SFR Business Team</t>
  </si>
  <si>
    <t>Philips France SAS</t>
  </si>
  <si>
    <t>SCC S.A.</t>
  </si>
  <si>
    <t>Paris (TPG Ass. Publique)</t>
  </si>
  <si>
    <t>Beckman Coulter France</t>
  </si>
  <si>
    <t>GE Medical Systems SCS</t>
  </si>
  <si>
    <t>Nombre de marchés par acheteur</t>
  </si>
  <si>
    <t>Nombre acheteurs</t>
  </si>
  <si>
    <t>Nombre de marchés</t>
  </si>
  <si>
    <t>Ratio</t>
  </si>
  <si>
    <t>Etablissement</t>
  </si>
  <si>
    <t>Support</t>
  </si>
  <si>
    <t>Membre1</t>
  </si>
  <si>
    <t>Membre2</t>
  </si>
  <si>
    <t>Membre3</t>
  </si>
  <si>
    <t>Membre4</t>
  </si>
  <si>
    <t>Membre5</t>
  </si>
  <si>
    <t>Membre6</t>
  </si>
  <si>
    <t>Ratio = ALEA.ENTRE.BORNES(10;20)</t>
  </si>
  <si>
    <t>GHT</t>
  </si>
  <si>
    <t>Page33</t>
  </si>
  <si>
    <t>Volume d'achat par acheteur</t>
  </si>
  <si>
    <t>Volume financier total d'achat</t>
  </si>
  <si>
    <t>Volume moyen d'achat avec moyenne à 6M€ = ALEA.ENTRE.BORNES(6000000*0,8;6000000*1,2)</t>
  </si>
  <si>
    <t>Moyenne</t>
  </si>
  <si>
    <t>Page35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</si>
</sst>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5" formatCode="#,##0\ &quot;€&quot;;\-#,##0\ &quot;€&quot;"/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_ ;[Red]\-#,##0.00\ "/>
    <numFmt numFmtId="165" formatCode="_-* #,##0\ _€_-;\-* #,##0\ _€_-;_-* &quot;-&quot;??\ _€_-;_-@_-"/>
    <numFmt numFmtId="166" formatCode="_-* #,##0\ &quot;€&quot;_-;\-* #,##0\ &quot;€&quot;_-;_-* &quot;-&quot;??\ &quot;€&quot;_-;_-@_-"/>
    <numFmt numFmtId="167" formatCode="_-* #,##0\ [$€-40C]_-;\-* #,##0\ [$€-40C]_-;_-* &quot;-&quot;??\ [$€-40C]_-;_-@_-"/>
    <numFmt numFmtId="168" formatCode="[$-F800]dddd\,\ mmmm\ dd\,\ yyyy"/>
    <numFmt numFmtId="169" formatCode="0.0%"/>
    <numFmt numFmtId="170" formatCode="#,##0.00,,&quot; M€&quot;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1"/>
      <color theme="0" tint="-0.499984740745262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Wingdings 2"/>
      <family val="1"/>
      <charset val="2"/>
    </font>
    <font>
      <i/>
      <sz val="9"/>
      <color theme="1"/>
      <name val="Calibri"/>
      <family val="2"/>
      <scheme val="minor"/>
    </font>
    <font>
      <b/>
      <sz val="20"/>
      <color theme="1"/>
      <name val="Wingdings"/>
      <charset val="2"/>
    </font>
    <font>
      <sz val="8"/>
      <color theme="0" tint="-0.249977111117893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u/>
      <sz val="11"/>
      <color theme="1" tint="0.499984740745262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8"/>
      <color theme="1" tint="0.49998474074526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2F2F2"/>
        <bgColor rgb="FFEFEFEF"/>
      </patternFill>
    </fill>
  </fills>
  <borders count="83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/>
      <diagonal/>
    </border>
    <border>
      <left style="dashed">
        <color theme="0" tint="-0.499984740745262"/>
      </left>
      <right/>
      <top/>
      <bottom/>
      <diagonal/>
    </border>
    <border>
      <left/>
      <right/>
      <top/>
      <bottom style="dashed">
        <color theme="0" tint="-0.499984740745262"/>
      </bottom>
      <diagonal/>
    </border>
    <border>
      <left/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/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 style="dashed">
        <color auto="1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theme="1" tint="0.499984740745262"/>
      </top>
      <bottom style="dashed">
        <color theme="1" tint="0.499984740745262"/>
      </bottom>
      <diagonal/>
    </border>
    <border>
      <left/>
      <right/>
      <top style="dashed">
        <color theme="1" tint="0.499984740745262"/>
      </top>
      <bottom style="dashed">
        <color theme="1" tint="0.499984740745262"/>
      </bottom>
      <diagonal/>
    </border>
    <border>
      <left/>
      <right style="thin">
        <color indexed="64"/>
      </right>
      <top style="dashed">
        <color theme="1" tint="0.499984740745262"/>
      </top>
      <bottom style="dashed">
        <color theme="1" tint="0.499984740745262"/>
      </bottom>
      <diagonal/>
    </border>
    <border>
      <left style="thin">
        <color indexed="64"/>
      </left>
      <right/>
      <top style="dashed">
        <color theme="1" tint="0.499984740745262"/>
      </top>
      <bottom style="thin">
        <color indexed="64"/>
      </bottom>
      <diagonal/>
    </border>
    <border>
      <left/>
      <right/>
      <top style="dashed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dashed">
        <color theme="1" tint="0.49998474074526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theme="1" tint="0.499984740745262"/>
      </bottom>
      <diagonal/>
    </border>
    <border>
      <left/>
      <right/>
      <top style="thin">
        <color indexed="64"/>
      </top>
      <bottom style="dashed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ashed">
        <color theme="1" tint="0.499984740745262"/>
      </bottom>
      <diagonal/>
    </border>
    <border>
      <left style="thick">
        <color auto="1"/>
      </left>
      <right/>
      <top/>
      <bottom/>
      <diagonal/>
    </border>
    <border>
      <left style="medium">
        <color theme="1" tint="0.499984740745262"/>
      </left>
      <right style="dashed">
        <color auto="1"/>
      </right>
      <top style="medium">
        <color theme="1" tint="0.499984740745262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theme="1" tint="0.499984740745262"/>
      </top>
      <bottom style="dashed">
        <color auto="1"/>
      </bottom>
      <diagonal/>
    </border>
    <border>
      <left style="dashed">
        <color auto="1"/>
      </left>
      <right style="medium">
        <color theme="1" tint="0.499984740745262"/>
      </right>
      <top style="medium">
        <color theme="1" tint="0.499984740745262"/>
      </top>
      <bottom style="dashed">
        <color auto="1"/>
      </bottom>
      <diagonal/>
    </border>
    <border>
      <left style="medium">
        <color theme="1" tint="0.499984740745262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theme="1" tint="0.499984740745262"/>
      </right>
      <top style="dashed">
        <color auto="1"/>
      </top>
      <bottom style="dashed">
        <color auto="1"/>
      </bottom>
      <diagonal/>
    </border>
    <border>
      <left style="medium">
        <color theme="1" tint="0.499984740745262"/>
      </left>
      <right style="dashed">
        <color auto="1"/>
      </right>
      <top style="dashed">
        <color auto="1"/>
      </top>
      <bottom style="medium">
        <color theme="1" tint="0.499984740745262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theme="1" tint="0.499984740745262"/>
      </bottom>
      <diagonal/>
    </border>
    <border>
      <left style="dashed">
        <color auto="1"/>
      </left>
      <right style="medium">
        <color theme="1" tint="0.499984740745262"/>
      </right>
      <top style="dashed">
        <color auto="1"/>
      </top>
      <bottom style="medium">
        <color theme="1" tint="0.499984740745262"/>
      </bottom>
      <diagonal/>
    </border>
    <border>
      <left style="thin">
        <color theme="1" tint="0.499984740745262"/>
      </left>
      <right style="dashed">
        <color theme="0" tint="-0.499984740745262"/>
      </right>
      <top style="thin">
        <color theme="1" tint="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thin">
        <color theme="1" tint="0.499984740745262"/>
      </right>
      <top style="thin">
        <color theme="1" tint="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thin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thin">
        <color theme="1" tint="0.499984740745262"/>
      </bottom>
      <diagonal/>
    </border>
    <border>
      <left style="dashed">
        <color theme="0" tint="-0.499984740745262"/>
      </left>
      <right style="thin">
        <color theme="1" tint="0.499984740745262"/>
      </right>
      <top style="dashed">
        <color theme="0" tint="-0.499984740745262"/>
      </top>
      <bottom style="thin">
        <color theme="1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theme="1" tint="0.499984740745262"/>
      </right>
      <top/>
      <bottom/>
      <diagonal/>
    </border>
    <border>
      <left style="dashed">
        <color theme="1" tint="0.499984740745262"/>
      </left>
      <right style="dashed">
        <color theme="1" tint="0.499984740745262"/>
      </right>
      <top/>
      <bottom/>
      <diagonal/>
    </border>
    <border>
      <left style="dashed">
        <color theme="1" tint="0.499984740745262"/>
      </left>
      <right style="thin">
        <color indexed="64"/>
      </right>
      <top/>
      <bottom/>
      <diagonal/>
    </border>
    <border>
      <left style="thin">
        <color indexed="64"/>
      </left>
      <right style="dashed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ashed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 style="thin">
        <color indexed="64"/>
      </left>
      <right style="dashed">
        <color theme="1" tint="0.499984740745262"/>
      </right>
      <top style="dashed">
        <color theme="0" tint="-0.499984740745262"/>
      </top>
      <bottom/>
      <diagonal/>
    </border>
    <border>
      <left style="dashed">
        <color theme="1" tint="0.499984740745262"/>
      </left>
      <right style="dashed">
        <color theme="1" tint="0.499984740745262"/>
      </right>
      <top style="dashed">
        <color theme="0" tint="-0.499984740745262"/>
      </top>
      <bottom/>
      <diagonal/>
    </border>
    <border>
      <left style="dashed">
        <color theme="1" tint="0.499984740745262"/>
      </left>
      <right style="thin">
        <color indexed="64"/>
      </right>
      <top style="dashed">
        <color theme="0" tint="-0.499984740745262"/>
      </top>
      <bottom/>
      <diagonal/>
    </border>
    <border>
      <left style="thin">
        <color indexed="64"/>
      </left>
      <right style="dashed">
        <color theme="1" tint="0.499984740745262"/>
      </right>
      <top/>
      <bottom style="medium">
        <color indexed="64"/>
      </bottom>
      <diagonal/>
    </border>
    <border>
      <left style="dashed">
        <color theme="1" tint="0.499984740745262"/>
      </left>
      <right style="dashed">
        <color theme="1" tint="0.499984740745262"/>
      </right>
      <top/>
      <bottom style="medium">
        <color indexed="64"/>
      </bottom>
      <diagonal/>
    </border>
    <border>
      <left style="dashed">
        <color theme="1" tint="0.499984740745262"/>
      </left>
      <right style="thin">
        <color indexed="64"/>
      </right>
      <top/>
      <bottom style="medium">
        <color indexed="64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dashed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dashed">
        <color theme="1" tint="0.499984740745262"/>
      </top>
      <bottom style="dashed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dashed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rgb="FF808080"/>
      </left>
      <right style="thin">
        <color auto="1"/>
      </right>
      <top/>
      <bottom style="dashed">
        <color rgb="FFBFBFBF"/>
      </bottom>
      <diagonal/>
    </border>
    <border>
      <left/>
      <right/>
      <top/>
      <bottom style="double">
        <color indexed="64"/>
      </bottom>
      <diagonal/>
    </border>
  </borders>
  <cellStyleXfs count="20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" fontId="4" fillId="2" borderId="1" applyNumberFormat="0" applyProtection="0">
      <alignment horizontal="left" vertical="center" inden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9">
    <xf numFmtId="0" fontId="0" fillId="0" borderId="0" xfId="0"/>
    <xf numFmtId="6" fontId="0" fillId="0" borderId="0" xfId="0" applyNumberFormat="1"/>
    <xf numFmtId="8" fontId="0" fillId="0" borderId="0" xfId="0" applyNumberFormat="1"/>
    <xf numFmtId="10" fontId="0" fillId="0" borderId="0" xfId="0" applyNumberFormat="1"/>
    <xf numFmtId="0" fontId="0" fillId="0" borderId="0" xfId="0" applyAlignment="1">
      <alignment horizontal="left" vertical="top"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3" borderId="0" xfId="0" applyFill="1"/>
    <xf numFmtId="0" fontId="5" fillId="3" borderId="0" xfId="0" applyFont="1" applyFill="1" applyAlignment="1">
      <alignment vertical="top"/>
    </xf>
    <xf numFmtId="0" fontId="6" fillId="0" borderId="0" xfId="0" applyFont="1" applyAlignment="1">
      <alignment vertical="top" wrapText="1"/>
    </xf>
    <xf numFmtId="10" fontId="0" fillId="4" borderId="0" xfId="17" applyNumberFormat="1" applyFont="1" applyFill="1"/>
    <xf numFmtId="0" fontId="5" fillId="5" borderId="0" xfId="0" applyFont="1" applyFill="1" applyAlignment="1">
      <alignment vertical="top"/>
    </xf>
    <xf numFmtId="0" fontId="5" fillId="3" borderId="0" xfId="0" applyFont="1" applyFill="1" applyAlignment="1">
      <alignment horizontal="center" vertical="top"/>
    </xf>
    <xf numFmtId="0" fontId="5" fillId="5" borderId="0" xfId="0" applyFont="1" applyFill="1" applyAlignment="1">
      <alignment horizontal="center" vertical="top"/>
    </xf>
    <xf numFmtId="0" fontId="5" fillId="6" borderId="0" xfId="0" applyFont="1" applyFill="1" applyAlignment="1"/>
    <xf numFmtId="0" fontId="5" fillId="5" borderId="4" xfId="0" applyFont="1" applyFill="1" applyBorder="1" applyAlignment="1">
      <alignment horizontal="left" vertical="top" wrapText="1"/>
    </xf>
    <xf numFmtId="0" fontId="0" fillId="3" borderId="6" xfId="0" applyFill="1" applyBorder="1" applyAlignment="1">
      <alignment vertical="top"/>
    </xf>
    <xf numFmtId="0" fontId="0" fillId="3" borderId="7" xfId="0" applyFill="1" applyBorder="1" applyAlignment="1">
      <alignment vertical="top"/>
    </xf>
    <xf numFmtId="0" fontId="5" fillId="5" borderId="8" xfId="0" applyFont="1" applyFill="1" applyBorder="1" applyAlignment="1">
      <alignment horizontal="left" vertical="top" wrapText="1"/>
    </xf>
    <xf numFmtId="8" fontId="0" fillId="3" borderId="9" xfId="0" applyNumberFormat="1" applyFill="1" applyBorder="1" applyAlignment="1">
      <alignment vertical="top"/>
    </xf>
    <xf numFmtId="8" fontId="0" fillId="3" borderId="10" xfId="0" applyNumberFormat="1" applyFill="1" applyBorder="1" applyAlignment="1">
      <alignment vertical="top"/>
    </xf>
    <xf numFmtId="0" fontId="5" fillId="5" borderId="2" xfId="0" applyFont="1" applyFill="1" applyBorder="1" applyAlignment="1">
      <alignment horizontal="left" vertical="top" wrapText="1"/>
    </xf>
    <xf numFmtId="0" fontId="0" fillId="3" borderId="14" xfId="0" applyFill="1" applyBorder="1" applyAlignment="1">
      <alignment vertical="top"/>
    </xf>
    <xf numFmtId="0" fontId="5" fillId="5" borderId="16" xfId="0" applyFont="1" applyFill="1" applyBorder="1" applyAlignment="1">
      <alignment horizontal="left" vertical="top" wrapText="1"/>
    </xf>
    <xf numFmtId="0" fontId="0" fillId="3" borderId="17" xfId="0" applyFill="1" applyBorder="1" applyAlignment="1">
      <alignment vertical="top"/>
    </xf>
    <xf numFmtId="0" fontId="0" fillId="3" borderId="18" xfId="0" applyFill="1" applyBorder="1" applyAlignment="1">
      <alignment vertical="top"/>
    </xf>
    <xf numFmtId="10" fontId="0" fillId="3" borderId="17" xfId="17" applyNumberFormat="1" applyFont="1" applyFill="1" applyBorder="1" applyAlignment="1">
      <alignment vertical="top"/>
    </xf>
    <xf numFmtId="10" fontId="0" fillId="3" borderId="18" xfId="17" applyNumberFormat="1" applyFont="1" applyFill="1" applyBorder="1" applyAlignment="1">
      <alignment vertical="top"/>
    </xf>
    <xf numFmtId="0" fontId="0" fillId="6" borderId="5" xfId="0" applyFill="1" applyBorder="1" applyAlignment="1">
      <alignment vertical="top" wrapText="1"/>
    </xf>
    <xf numFmtId="10" fontId="0" fillId="3" borderId="6" xfId="0" applyNumberFormat="1" applyFill="1" applyBorder="1" applyAlignment="1">
      <alignment vertical="top"/>
    </xf>
    <xf numFmtId="10" fontId="0" fillId="3" borderId="7" xfId="0" applyNumberFormat="1" applyFill="1" applyBorder="1" applyAlignment="1">
      <alignment vertical="top"/>
    </xf>
    <xf numFmtId="0" fontId="0" fillId="6" borderId="9" xfId="0" applyFill="1" applyBorder="1" applyAlignment="1">
      <alignment vertical="top" wrapText="1"/>
    </xf>
    <xf numFmtId="10" fontId="0" fillId="3" borderId="10" xfId="0" applyNumberFormat="1" applyFill="1" applyBorder="1" applyAlignment="1">
      <alignment vertical="top"/>
    </xf>
    <xf numFmtId="10" fontId="0" fillId="3" borderId="11" xfId="0" applyNumberFormat="1" applyFill="1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/>
    </xf>
    <xf numFmtId="0" fontId="0" fillId="0" borderId="10" xfId="0" applyBorder="1" applyAlignment="1"/>
    <xf numFmtId="0" fontId="0" fillId="0" borderId="11" xfId="0" applyBorder="1" applyAlignment="1"/>
    <xf numFmtId="0" fontId="0" fillId="4" borderId="12" xfId="0" applyFill="1" applyBorder="1" applyAlignment="1">
      <alignment wrapText="1"/>
    </xf>
    <xf numFmtId="10" fontId="0" fillId="4" borderId="22" xfId="17" applyNumberFormat="1" applyFont="1" applyFill="1" applyBorder="1"/>
    <xf numFmtId="10" fontId="0" fillId="4" borderId="23" xfId="17" applyNumberFormat="1" applyFont="1" applyFill="1" applyBorder="1"/>
    <xf numFmtId="0" fontId="0" fillId="5" borderId="5" xfId="0" applyFill="1" applyBorder="1" applyAlignment="1">
      <alignment horizontal="left" vertical="top" wrapText="1"/>
    </xf>
    <xf numFmtId="0" fontId="0" fillId="5" borderId="9" xfId="0" applyFill="1" applyBorder="1" applyAlignment="1">
      <alignment vertical="top" wrapText="1"/>
    </xf>
    <xf numFmtId="0" fontId="0" fillId="3" borderId="10" xfId="0" applyFill="1" applyBorder="1" applyAlignment="1">
      <alignment vertical="top"/>
    </xf>
    <xf numFmtId="0" fontId="0" fillId="3" borderId="11" xfId="0" applyFill="1" applyBorder="1" applyAlignment="1">
      <alignment vertical="top"/>
    </xf>
    <xf numFmtId="0" fontId="0" fillId="5" borderId="12" xfId="0" applyFill="1" applyBorder="1" applyAlignment="1">
      <alignment vertical="top" wrapText="1"/>
    </xf>
    <xf numFmtId="10" fontId="0" fillId="3" borderId="22" xfId="17" applyNumberFormat="1" applyFont="1" applyFill="1" applyBorder="1" applyAlignment="1">
      <alignment vertical="top"/>
    </xf>
    <xf numFmtId="10" fontId="0" fillId="3" borderId="23" xfId="17" applyNumberFormat="1" applyFont="1" applyFill="1" applyBorder="1" applyAlignment="1">
      <alignment vertical="top"/>
    </xf>
    <xf numFmtId="0" fontId="0" fillId="5" borderId="9" xfId="0" applyFill="1" applyBorder="1" applyAlignment="1">
      <alignment horizontal="left" vertical="top" wrapText="1"/>
    </xf>
    <xf numFmtId="10" fontId="0" fillId="3" borderId="10" xfId="17" applyNumberFormat="1" applyFont="1" applyFill="1" applyBorder="1" applyAlignment="1">
      <alignment vertical="top"/>
    </xf>
    <xf numFmtId="10" fontId="0" fillId="3" borderId="11" xfId="17" applyNumberFormat="1" applyFont="1" applyFill="1" applyBorder="1" applyAlignment="1">
      <alignment vertical="top"/>
    </xf>
    <xf numFmtId="0" fontId="0" fillId="5" borderId="12" xfId="0" applyFill="1" applyBorder="1" applyAlignment="1">
      <alignment horizontal="left" vertical="top" wrapText="1"/>
    </xf>
    <xf numFmtId="10" fontId="0" fillId="3" borderId="22" xfId="0" applyNumberFormat="1" applyFill="1" applyBorder="1" applyAlignment="1">
      <alignment vertical="top"/>
    </xf>
    <xf numFmtId="0" fontId="0" fillId="5" borderId="5" xfId="0" applyFill="1" applyBorder="1" applyAlignment="1">
      <alignment wrapText="1"/>
    </xf>
    <xf numFmtId="0" fontId="0" fillId="5" borderId="9" xfId="0" applyFill="1" applyBorder="1" applyAlignment="1">
      <alignment wrapText="1"/>
    </xf>
    <xf numFmtId="8" fontId="0" fillId="4" borderId="10" xfId="0" applyNumberFormat="1" applyFill="1" applyBorder="1" applyAlignment="1">
      <alignment vertical="top"/>
    </xf>
    <xf numFmtId="10" fontId="0" fillId="4" borderId="10" xfId="0" applyNumberFormat="1" applyFill="1" applyBorder="1" applyAlignment="1">
      <alignment vertical="top"/>
    </xf>
    <xf numFmtId="2" fontId="0" fillId="4" borderId="10" xfId="17" applyNumberFormat="1" applyFont="1" applyFill="1" applyBorder="1"/>
    <xf numFmtId="2" fontId="0" fillId="4" borderId="10" xfId="0" applyNumberFormat="1" applyFill="1" applyBorder="1" applyAlignment="1">
      <alignment vertical="top"/>
    </xf>
    <xf numFmtId="2" fontId="0" fillId="4" borderId="11" xfId="0" applyNumberFormat="1" applyFill="1" applyBorder="1" applyAlignment="1">
      <alignment vertical="top"/>
    </xf>
    <xf numFmtId="164" fontId="0" fillId="4" borderId="10" xfId="0" applyNumberFormat="1" applyFill="1" applyBorder="1" applyAlignment="1">
      <alignment vertical="top"/>
    </xf>
    <xf numFmtId="0" fontId="0" fillId="5" borderId="12" xfId="0" applyFill="1" applyBorder="1" applyAlignment="1">
      <alignment wrapText="1"/>
    </xf>
    <xf numFmtId="8" fontId="0" fillId="4" borderId="22" xfId="0" applyNumberFormat="1" applyFill="1" applyBorder="1" applyAlignment="1">
      <alignment vertical="top"/>
    </xf>
    <xf numFmtId="8" fontId="0" fillId="4" borderId="14" xfId="0" applyNumberFormat="1" applyFill="1" applyBorder="1" applyAlignment="1">
      <alignment vertical="top"/>
    </xf>
    <xf numFmtId="8" fontId="0" fillId="4" borderId="15" xfId="0" applyNumberFormat="1" applyFill="1" applyBorder="1" applyAlignment="1">
      <alignment vertical="top"/>
    </xf>
    <xf numFmtId="10" fontId="0" fillId="4" borderId="17" xfId="0" applyNumberFormat="1" applyFill="1" applyBorder="1" applyAlignment="1">
      <alignment vertical="top"/>
    </xf>
    <xf numFmtId="10" fontId="0" fillId="4" borderId="18" xfId="0" applyNumberFormat="1" applyFill="1" applyBorder="1" applyAlignment="1">
      <alignment vertical="top"/>
    </xf>
    <xf numFmtId="10" fontId="0" fillId="4" borderId="17" xfId="17" applyNumberFormat="1" applyFont="1" applyFill="1" applyBorder="1" applyAlignment="1">
      <alignment vertical="top"/>
    </xf>
    <xf numFmtId="10" fontId="0" fillId="4" borderId="18" xfId="17" applyNumberFormat="1" applyFont="1" applyFill="1" applyBorder="1" applyAlignment="1">
      <alignment vertical="top"/>
    </xf>
    <xf numFmtId="10" fontId="0" fillId="4" borderId="20" xfId="17" applyNumberFormat="1" applyFont="1" applyFill="1" applyBorder="1" applyAlignment="1">
      <alignment vertical="top"/>
    </xf>
    <xf numFmtId="10" fontId="0" fillId="4" borderId="21" xfId="17" applyNumberFormat="1" applyFont="1" applyFill="1" applyBorder="1" applyAlignment="1">
      <alignment vertical="top"/>
    </xf>
    <xf numFmtId="0" fontId="0" fillId="5" borderId="13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8" fillId="7" borderId="2" xfId="0" applyFont="1" applyFill="1" applyBorder="1" applyAlignment="1">
      <alignment horizontal="left" vertical="top" wrapText="1"/>
    </xf>
    <xf numFmtId="8" fontId="0" fillId="3" borderId="6" xfId="0" applyNumberFormat="1" applyFill="1" applyBorder="1" applyAlignment="1">
      <alignment vertical="top"/>
    </xf>
    <xf numFmtId="8" fontId="6" fillId="4" borderId="10" xfId="0" applyNumberFormat="1" applyFont="1" applyFill="1" applyBorder="1" applyAlignment="1">
      <alignment vertical="top"/>
    </xf>
    <xf numFmtId="8" fontId="6" fillId="4" borderId="6" xfId="0" applyNumberFormat="1" applyFont="1" applyFill="1" applyBorder="1" applyAlignment="1">
      <alignment vertical="top"/>
    </xf>
    <xf numFmtId="8" fontId="0" fillId="8" borderId="7" xfId="0" applyNumberFormat="1" applyFill="1" applyBorder="1" applyAlignment="1">
      <alignment vertical="top"/>
    </xf>
    <xf numFmtId="8" fontId="0" fillId="8" borderId="3" xfId="0" applyNumberFormat="1" applyFill="1" applyBorder="1" applyAlignment="1">
      <alignment vertical="top"/>
    </xf>
    <xf numFmtId="8" fontId="6" fillId="4" borderId="7" xfId="0" applyNumberFormat="1" applyFont="1" applyFill="1" applyBorder="1" applyAlignment="1">
      <alignment vertical="top"/>
    </xf>
    <xf numFmtId="10" fontId="0" fillId="3" borderId="0" xfId="0" applyNumberFormat="1" applyFont="1" applyFill="1"/>
    <xf numFmtId="0" fontId="9" fillId="5" borderId="24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8" fontId="0" fillId="3" borderId="0" xfId="0" applyNumberFormat="1" applyFill="1" applyBorder="1" applyAlignment="1">
      <alignment vertical="top"/>
    </xf>
    <xf numFmtId="8" fontId="0" fillId="4" borderId="17" xfId="0" applyNumberFormat="1" applyFill="1" applyBorder="1" applyAlignment="1">
      <alignment vertical="top"/>
    </xf>
    <xf numFmtId="0" fontId="0" fillId="8" borderId="11" xfId="0" applyFill="1" applyBorder="1" applyAlignment="1">
      <alignment vertical="top"/>
    </xf>
    <xf numFmtId="10" fontId="0" fillId="4" borderId="0" xfId="0" applyNumberFormat="1" applyFill="1" applyAlignment="1">
      <alignment vertical="top"/>
    </xf>
    <xf numFmtId="8" fontId="0" fillId="8" borderId="24" xfId="0" applyNumberFormat="1" applyFill="1" applyBorder="1" applyAlignment="1">
      <alignment vertical="top"/>
    </xf>
    <xf numFmtId="10" fontId="0" fillId="8" borderId="11" xfId="17" applyNumberFormat="1" applyFont="1" applyFill="1" applyBorder="1" applyAlignment="1">
      <alignment vertical="top"/>
    </xf>
    <xf numFmtId="8" fontId="0" fillId="3" borderId="20" xfId="0" applyNumberFormat="1" applyFill="1" applyBorder="1" applyAlignment="1">
      <alignment vertical="top"/>
    </xf>
    <xf numFmtId="8" fontId="6" fillId="0" borderId="10" xfId="0" applyNumberFormat="1" applyFont="1" applyFill="1" applyBorder="1" applyAlignment="1">
      <alignment vertical="top"/>
    </xf>
    <xf numFmtId="10" fontId="0" fillId="0" borderId="17" xfId="0" applyNumberForma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/>
    </xf>
    <xf numFmtId="0" fontId="9" fillId="10" borderId="24" xfId="0" applyFont="1" applyFill="1" applyBorder="1" applyAlignment="1">
      <alignment horizontal="left" vertical="top" wrapText="1"/>
    </xf>
    <xf numFmtId="0" fontId="5" fillId="10" borderId="0" xfId="0" applyFont="1" applyFill="1" applyAlignment="1">
      <alignment horizontal="center" vertical="top"/>
    </xf>
    <xf numFmtId="0" fontId="0" fillId="0" borderId="11" xfId="0" applyBorder="1" applyAlignment="1">
      <alignment vertical="top"/>
    </xf>
    <xf numFmtId="0" fontId="5" fillId="9" borderId="0" xfId="0" applyFont="1" applyFill="1" applyAlignment="1">
      <alignment vertical="top"/>
    </xf>
    <xf numFmtId="8" fontId="6" fillId="9" borderId="6" xfId="0" applyNumberFormat="1" applyFont="1" applyFill="1" applyBorder="1" applyAlignment="1">
      <alignment vertical="top"/>
    </xf>
    <xf numFmtId="8" fontId="0" fillId="9" borderId="7" xfId="0" applyNumberFormat="1" applyFill="1" applyBorder="1" applyAlignment="1">
      <alignment vertical="top"/>
    </xf>
    <xf numFmtId="8" fontId="0" fillId="3" borderId="9" xfId="0" applyNumberFormat="1" applyFont="1" applyFill="1" applyBorder="1" applyAlignment="1">
      <alignment vertical="top"/>
    </xf>
    <xf numFmtId="0" fontId="0" fillId="0" borderId="10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165" fontId="6" fillId="4" borderId="6" xfId="18" applyNumberFormat="1" applyFont="1" applyFill="1" applyBorder="1" applyAlignment="1">
      <alignment horizontal="right" vertical="top"/>
    </xf>
    <xf numFmtId="165" fontId="0" fillId="8" borderId="7" xfId="18" applyNumberFormat="1" applyFont="1" applyFill="1" applyBorder="1" applyAlignment="1">
      <alignment horizontal="right" vertical="top"/>
    </xf>
    <xf numFmtId="165" fontId="6" fillId="4" borderId="10" xfId="18" applyNumberFormat="1" applyFont="1" applyFill="1" applyBorder="1" applyAlignment="1">
      <alignment horizontal="right" vertical="top"/>
    </xf>
    <xf numFmtId="165" fontId="0" fillId="8" borderId="11" xfId="18" applyNumberFormat="1" applyFont="1" applyFill="1" applyBorder="1" applyAlignment="1">
      <alignment horizontal="right" vertical="top"/>
    </xf>
    <xf numFmtId="165" fontId="0" fillId="3" borderId="9" xfId="18" applyNumberFormat="1" applyFont="1" applyFill="1" applyBorder="1" applyAlignment="1">
      <alignment horizontal="right" vertical="top"/>
    </xf>
    <xf numFmtId="165" fontId="0" fillId="4" borderId="9" xfId="18" applyNumberFormat="1" applyFont="1" applyFill="1" applyBorder="1" applyAlignment="1">
      <alignment horizontal="right" vertical="top"/>
    </xf>
    <xf numFmtId="165" fontId="0" fillId="3" borderId="9" xfId="0" applyNumberFormat="1" applyFill="1" applyBorder="1" applyAlignment="1">
      <alignment vertical="top"/>
    </xf>
    <xf numFmtId="0" fontId="5" fillId="0" borderId="8" xfId="0" applyFont="1" applyFill="1" applyBorder="1" applyAlignment="1">
      <alignment horizontal="left" vertical="top" wrapText="1"/>
    </xf>
    <xf numFmtId="8" fontId="0" fillId="0" borderId="9" xfId="0" applyNumberFormat="1" applyFont="1" applyFill="1" applyBorder="1" applyAlignment="1">
      <alignment vertical="top"/>
    </xf>
    <xf numFmtId="8" fontId="0" fillId="0" borderId="10" xfId="0" applyNumberFormat="1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0" fontId="5" fillId="3" borderId="0" xfId="0" applyFont="1" applyFill="1" applyAlignment="1">
      <alignment horizontal="center"/>
    </xf>
    <xf numFmtId="10" fontId="0" fillId="4" borderId="10" xfId="17" applyNumberFormat="1" applyFont="1" applyFill="1" applyBorder="1" applyAlignment="1">
      <alignment vertical="top"/>
    </xf>
    <xf numFmtId="10" fontId="0" fillId="8" borderId="7" xfId="17" applyNumberFormat="1" applyFont="1" applyFill="1" applyBorder="1" applyAlignment="1">
      <alignment horizontal="right" vertical="top"/>
    </xf>
    <xf numFmtId="6" fontId="5" fillId="5" borderId="8" xfId="0" applyNumberFormat="1" applyFont="1" applyFill="1" applyBorder="1" applyAlignment="1">
      <alignment horizontal="left" vertical="top" wrapText="1"/>
    </xf>
    <xf numFmtId="0" fontId="9" fillId="10" borderId="0" xfId="0" applyFont="1" applyFill="1" applyBorder="1" applyAlignment="1">
      <alignment horizontal="left" vertical="top" wrapText="1"/>
    </xf>
    <xf numFmtId="0" fontId="9" fillId="5" borderId="0" xfId="0" applyFont="1" applyFill="1" applyBorder="1" applyAlignment="1">
      <alignment horizontal="left" vertical="top" wrapText="1"/>
    </xf>
    <xf numFmtId="10" fontId="0" fillId="4" borderId="11" xfId="0" applyNumberFormat="1" applyFill="1" applyBorder="1" applyAlignment="1">
      <alignment vertical="top"/>
    </xf>
    <xf numFmtId="8" fontId="6" fillId="4" borderId="11" xfId="0" applyNumberFormat="1" applyFont="1" applyFill="1" applyBorder="1" applyAlignment="1">
      <alignment vertical="top"/>
    </xf>
    <xf numFmtId="0" fontId="0" fillId="0" borderId="0" xfId="0" applyFont="1" applyAlignment="1">
      <alignment horizontal="center"/>
    </xf>
    <xf numFmtId="0" fontId="0" fillId="0" borderId="0" xfId="0" applyFont="1"/>
    <xf numFmtId="10" fontId="0" fillId="8" borderId="25" xfId="0" applyNumberFormat="1" applyFill="1" applyBorder="1" applyAlignment="1">
      <alignment vertical="top"/>
    </xf>
    <xf numFmtId="10" fontId="0" fillId="8" borderId="26" xfId="0" applyNumberFormat="1" applyFill="1" applyBorder="1" applyAlignment="1">
      <alignment vertical="top"/>
    </xf>
    <xf numFmtId="0" fontId="5" fillId="5" borderId="0" xfId="0" applyFont="1" applyFill="1" applyAlignment="1">
      <alignment horizontal="center" vertical="top" wrapText="1"/>
    </xf>
    <xf numFmtId="8" fontId="6" fillId="4" borderId="5" xfId="0" applyNumberFormat="1" applyFont="1" applyFill="1" applyBorder="1" applyAlignment="1">
      <alignment vertical="top"/>
    </xf>
    <xf numFmtId="8" fontId="6" fillId="4" borderId="22" xfId="0" applyNumberFormat="1" applyFont="1" applyFill="1" applyBorder="1" applyAlignment="1">
      <alignment vertical="top"/>
    </xf>
    <xf numFmtId="8" fontId="6" fillId="4" borderId="24" xfId="0" applyNumberFormat="1" applyFont="1" applyFill="1" applyBorder="1" applyAlignment="1">
      <alignment vertical="top"/>
    </xf>
    <xf numFmtId="0" fontId="0" fillId="8" borderId="7" xfId="0" applyFill="1" applyBorder="1" applyAlignment="1">
      <alignment vertical="top"/>
    </xf>
    <xf numFmtId="8" fontId="5" fillId="8" borderId="24" xfId="0" applyNumberFormat="1" applyFont="1" applyFill="1" applyBorder="1" applyAlignment="1">
      <alignment vertical="top"/>
    </xf>
    <xf numFmtId="165" fontId="5" fillId="9" borderId="5" xfId="0" applyNumberFormat="1" applyFont="1" applyFill="1" applyBorder="1" applyAlignment="1">
      <alignment horizontal="center" vertical="top"/>
    </xf>
    <xf numFmtId="10" fontId="0" fillId="0" borderId="0" xfId="17" applyNumberFormat="1" applyFont="1"/>
    <xf numFmtId="165" fontId="0" fillId="11" borderId="9" xfId="18" applyNumberFormat="1" applyFont="1" applyFill="1" applyBorder="1" applyAlignment="1">
      <alignment horizontal="right" vertical="top"/>
    </xf>
    <xf numFmtId="0" fontId="8" fillId="9" borderId="0" xfId="0" applyFont="1" applyFill="1" applyBorder="1" applyAlignment="1">
      <alignment horizontal="left" vertical="top" wrapText="1"/>
    </xf>
    <xf numFmtId="8" fontId="0" fillId="4" borderId="10" xfId="0" applyNumberFormat="1" applyFont="1" applyFill="1" applyBorder="1" applyAlignment="1">
      <alignment vertical="top"/>
    </xf>
    <xf numFmtId="165" fontId="0" fillId="8" borderId="10" xfId="18" applyNumberFormat="1" applyFont="1" applyFill="1" applyBorder="1" applyAlignment="1">
      <alignment horizontal="right" vertical="top"/>
    </xf>
    <xf numFmtId="43" fontId="0" fillId="0" borderId="0" xfId="18" applyFont="1"/>
    <xf numFmtId="43" fontId="0" fillId="0" borderId="0" xfId="0" applyNumberFormat="1"/>
    <xf numFmtId="43" fontId="0" fillId="12" borderId="0" xfId="0" applyNumberFormat="1" applyFill="1"/>
    <xf numFmtId="43" fontId="0" fillId="3" borderId="9" xfId="0" applyNumberFormat="1" applyFont="1" applyFill="1" applyBorder="1" applyAlignment="1">
      <alignment vertical="top"/>
    </xf>
    <xf numFmtId="8" fontId="0" fillId="4" borderId="9" xfId="0" applyNumberFormat="1" applyFont="1" applyFill="1" applyBorder="1" applyAlignment="1">
      <alignment vertical="top"/>
    </xf>
    <xf numFmtId="0" fontId="5" fillId="5" borderId="0" xfId="0" applyFont="1" applyFill="1" applyBorder="1" applyAlignment="1">
      <alignment horizontal="left" vertical="top" wrapText="1"/>
    </xf>
    <xf numFmtId="10" fontId="0" fillId="4" borderId="0" xfId="17" applyNumberFormat="1" applyFont="1" applyFill="1" applyAlignment="1">
      <alignment horizontal="center" vertical="center"/>
    </xf>
    <xf numFmtId="0" fontId="5" fillId="7" borderId="8" xfId="0" applyFont="1" applyFill="1" applyBorder="1" applyAlignment="1">
      <alignment horizontal="left" vertical="top" wrapText="1"/>
    </xf>
    <xf numFmtId="165" fontId="0" fillId="7" borderId="9" xfId="0" applyNumberFormat="1" applyFill="1" applyBorder="1" applyAlignment="1">
      <alignment vertical="top"/>
    </xf>
    <xf numFmtId="6" fontId="5" fillId="7" borderId="8" xfId="0" applyNumberFormat="1" applyFont="1" applyFill="1" applyBorder="1" applyAlignment="1">
      <alignment horizontal="left" vertical="top" wrapText="1"/>
    </xf>
    <xf numFmtId="10" fontId="0" fillId="7" borderId="9" xfId="17" applyNumberFormat="1" applyFont="1" applyFill="1" applyBorder="1" applyAlignment="1">
      <alignment vertical="top"/>
    </xf>
    <xf numFmtId="165" fontId="0" fillId="0" borderId="0" xfId="0" applyNumberFormat="1"/>
    <xf numFmtId="165" fontId="0" fillId="8" borderId="0" xfId="18" applyNumberFormat="1" applyFont="1" applyFill="1" applyBorder="1" applyAlignment="1">
      <alignment horizontal="right" vertical="top"/>
    </xf>
    <xf numFmtId="10" fontId="0" fillId="13" borderId="0" xfId="17" applyNumberFormat="1" applyFont="1" applyFill="1"/>
    <xf numFmtId="10" fontId="0" fillId="13" borderId="0" xfId="0" applyNumberFormat="1" applyFill="1"/>
    <xf numFmtId="6" fontId="0" fillId="3" borderId="9" xfId="0" applyNumberFormat="1" applyFont="1" applyFill="1" applyBorder="1" applyAlignment="1">
      <alignment vertical="top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6" fontId="0" fillId="0" borderId="0" xfId="19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7" fontId="0" fillId="0" borderId="0" xfId="19" applyNumberFormat="1" applyFon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0" fillId="14" borderId="27" xfId="0" applyFill="1" applyBorder="1" applyAlignment="1">
      <alignment horizontal="center" vertical="center" wrapText="1"/>
    </xf>
    <xf numFmtId="9" fontId="0" fillId="14" borderId="27" xfId="17" applyFont="1" applyFill="1" applyBorder="1" applyAlignment="1">
      <alignment horizontal="center" vertical="center"/>
    </xf>
    <xf numFmtId="6" fontId="5" fillId="7" borderId="0" xfId="0" applyNumberFormat="1" applyFont="1" applyFill="1" applyAlignment="1">
      <alignment horizontal="left" vertical="top" wrapText="1"/>
    </xf>
    <xf numFmtId="0" fontId="0" fillId="0" borderId="8" xfId="0" applyBorder="1"/>
    <xf numFmtId="9" fontId="0" fillId="0" borderId="0" xfId="0" applyNumberFormat="1"/>
    <xf numFmtId="6" fontId="5" fillId="7" borderId="31" xfId="0" applyNumberFormat="1" applyFont="1" applyFill="1" applyBorder="1" applyAlignment="1">
      <alignment horizontal="left" vertical="top" wrapText="1"/>
    </xf>
    <xf numFmtId="165" fontId="0" fillId="0" borderId="32" xfId="0" applyNumberFormat="1" applyBorder="1"/>
    <xf numFmtId="10" fontId="0" fillId="0" borderId="32" xfId="17" applyNumberFormat="1" applyFont="1" applyBorder="1" applyAlignment="1">
      <alignment horizontal="center"/>
    </xf>
    <xf numFmtId="167" fontId="0" fillId="0" borderId="32" xfId="0" applyNumberFormat="1" applyBorder="1"/>
    <xf numFmtId="10" fontId="0" fillId="0" borderId="33" xfId="17" applyNumberFormat="1" applyFont="1" applyBorder="1" applyAlignment="1">
      <alignment horizontal="center"/>
    </xf>
    <xf numFmtId="6" fontId="5" fillId="7" borderId="34" xfId="0" applyNumberFormat="1" applyFont="1" applyFill="1" applyBorder="1" applyAlignment="1">
      <alignment horizontal="left" vertical="top" wrapText="1"/>
    </xf>
    <xf numFmtId="165" fontId="0" fillId="0" borderId="35" xfId="0" applyNumberFormat="1" applyBorder="1"/>
    <xf numFmtId="10" fontId="0" fillId="0" borderId="35" xfId="17" applyNumberFormat="1" applyFont="1" applyBorder="1" applyAlignment="1">
      <alignment horizontal="center"/>
    </xf>
    <xf numFmtId="167" fontId="0" fillId="0" borderId="35" xfId="0" applyNumberFormat="1" applyBorder="1"/>
    <xf numFmtId="10" fontId="0" fillId="0" borderId="36" xfId="17" applyNumberFormat="1" applyFont="1" applyBorder="1" applyAlignment="1">
      <alignment horizontal="center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28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6" fontId="5" fillId="7" borderId="28" xfId="0" applyNumberFormat="1" applyFont="1" applyFill="1" applyBorder="1" applyAlignment="1">
      <alignment horizontal="left" vertical="top" wrapText="1"/>
    </xf>
    <xf numFmtId="165" fontId="0" fillId="0" borderId="29" xfId="0" applyNumberFormat="1" applyBorder="1"/>
    <xf numFmtId="10" fontId="0" fillId="0" borderId="29" xfId="17" applyNumberFormat="1" applyFont="1" applyBorder="1" applyAlignment="1">
      <alignment horizontal="center"/>
    </xf>
    <xf numFmtId="10" fontId="0" fillId="0" borderId="30" xfId="17" applyNumberFormat="1" applyFont="1" applyBorder="1" applyAlignment="1">
      <alignment horizontal="center"/>
    </xf>
    <xf numFmtId="5" fontId="0" fillId="0" borderId="29" xfId="0" applyNumberFormat="1" applyBorder="1"/>
    <xf numFmtId="165" fontId="0" fillId="0" borderId="0" xfId="18" applyNumberFormat="1" applyFont="1"/>
    <xf numFmtId="0" fontId="12" fillId="0" borderId="0" xfId="0" applyFont="1"/>
    <xf numFmtId="0" fontId="12" fillId="0" borderId="0" xfId="0" applyFont="1" applyAlignment="1">
      <alignment wrapText="1"/>
    </xf>
    <xf numFmtId="0" fontId="0" fillId="0" borderId="40" xfId="0" applyBorder="1"/>
    <xf numFmtId="0" fontId="0" fillId="13" borderId="0" xfId="0" applyFill="1"/>
    <xf numFmtId="0" fontId="14" fillId="0" borderId="0" xfId="0" applyFont="1" applyAlignment="1">
      <alignment vertical="top"/>
    </xf>
    <xf numFmtId="0" fontId="12" fillId="0" borderId="42" xfId="0" applyFont="1" applyBorder="1" applyAlignment="1">
      <alignment horizontal="left" vertical="center" indent="1"/>
    </xf>
    <xf numFmtId="14" fontId="12" fillId="0" borderId="43" xfId="0" applyNumberFormat="1" applyFont="1" applyBorder="1" applyAlignment="1">
      <alignment horizontal="center" vertical="center"/>
    </xf>
    <xf numFmtId="0" fontId="12" fillId="0" borderId="17" xfId="0" applyFont="1" applyBorder="1" applyAlignment="1">
      <alignment horizontal="left" vertical="center" indent="1"/>
    </xf>
    <xf numFmtId="0" fontId="12" fillId="0" borderId="45" xfId="0" applyFont="1" applyBorder="1" applyAlignment="1">
      <alignment horizontal="center" vertical="center"/>
    </xf>
    <xf numFmtId="0" fontId="12" fillId="0" borderId="47" xfId="0" applyFont="1" applyBorder="1" applyAlignment="1">
      <alignment horizontal="left" vertical="center" indent="1"/>
    </xf>
    <xf numFmtId="0" fontId="12" fillId="0" borderId="48" xfId="0" applyFont="1" applyBorder="1" applyAlignment="1">
      <alignment horizontal="center" vertical="center"/>
    </xf>
    <xf numFmtId="0" fontId="15" fillId="0" borderId="41" xfId="0" applyFont="1" applyBorder="1" applyAlignment="1">
      <alignment vertical="center" wrapText="1"/>
    </xf>
    <xf numFmtId="0" fontId="15" fillId="0" borderId="44" xfId="0" applyFont="1" applyBorder="1" applyAlignment="1">
      <alignment vertical="center" wrapText="1"/>
    </xf>
    <xf numFmtId="0" fontId="15" fillId="0" borderId="46" xfId="0" applyFont="1" applyBorder="1" applyAlignment="1">
      <alignment vertical="center" wrapText="1"/>
    </xf>
    <xf numFmtId="168" fontId="13" fillId="0" borderId="50" xfId="0" applyNumberFormat="1" applyFont="1" applyBorder="1" applyAlignment="1">
      <alignment horizontal="left" indent="1"/>
    </xf>
    <xf numFmtId="168" fontId="13" fillId="0" borderId="52" xfId="0" applyNumberFormat="1" applyFont="1" applyBorder="1" applyAlignment="1">
      <alignment horizontal="left" indent="1"/>
    </xf>
    <xf numFmtId="0" fontId="13" fillId="0" borderId="52" xfId="0" applyFont="1" applyBorder="1" applyAlignment="1">
      <alignment horizontal="left" indent="1"/>
    </xf>
    <xf numFmtId="0" fontId="13" fillId="0" borderId="54" xfId="0" applyFont="1" applyBorder="1" applyAlignment="1">
      <alignment horizontal="left" indent="1"/>
    </xf>
    <xf numFmtId="0" fontId="0" fillId="15" borderId="0" xfId="0" applyFill="1"/>
    <xf numFmtId="0" fontId="0" fillId="0" borderId="0" xfId="0" applyFill="1"/>
    <xf numFmtId="0" fontId="16" fillId="0" borderId="0" xfId="0" applyFont="1" applyAlignment="1">
      <alignment horizontal="left" vertical="center" readingOrder="1"/>
    </xf>
    <xf numFmtId="0" fontId="17" fillId="0" borderId="0" xfId="0" applyFont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12" fillId="0" borderId="8" xfId="0" applyFont="1" applyBorder="1" applyAlignment="1">
      <alignment wrapText="1"/>
    </xf>
    <xf numFmtId="165" fontId="0" fillId="0" borderId="59" xfId="18" applyNumberFormat="1" applyFont="1" applyBorder="1"/>
    <xf numFmtId="165" fontId="0" fillId="0" borderId="60" xfId="18" applyNumberFormat="1" applyFont="1" applyBorder="1"/>
    <xf numFmtId="165" fontId="0" fillId="0" borderId="61" xfId="18" applyNumberFormat="1" applyFont="1" applyBorder="1"/>
    <xf numFmtId="165" fontId="0" fillId="0" borderId="59" xfId="0" applyNumberFormat="1" applyBorder="1"/>
    <xf numFmtId="165" fontId="0" fillId="0" borderId="60" xfId="0" applyNumberFormat="1" applyBorder="1"/>
    <xf numFmtId="165" fontId="0" fillId="0" borderId="61" xfId="0" applyNumberFormat="1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9" fontId="0" fillId="0" borderId="59" xfId="0" applyNumberFormat="1" applyBorder="1"/>
    <xf numFmtId="9" fontId="0" fillId="0" borderId="60" xfId="0" applyNumberFormat="1" applyBorder="1"/>
    <xf numFmtId="9" fontId="0" fillId="0" borderId="61" xfId="0" applyNumberFormat="1" applyBorder="1"/>
    <xf numFmtId="0" fontId="12" fillId="0" borderId="62" xfId="0" applyFont="1" applyBorder="1" applyAlignment="1">
      <alignment wrapText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12" fillId="0" borderId="8" xfId="0" applyFont="1" applyBorder="1"/>
    <xf numFmtId="165" fontId="0" fillId="4" borderId="59" xfId="18" applyNumberFormat="1" applyFont="1" applyFill="1" applyBorder="1"/>
    <xf numFmtId="165" fontId="0" fillId="4" borderId="60" xfId="18" applyNumberFormat="1" applyFont="1" applyFill="1" applyBorder="1"/>
    <xf numFmtId="165" fontId="0" fillId="4" borderId="61" xfId="18" applyNumberFormat="1" applyFont="1" applyFill="1" applyBorder="1"/>
    <xf numFmtId="165" fontId="0" fillId="16" borderId="59" xfId="0" applyNumberFormat="1" applyFill="1" applyBorder="1"/>
    <xf numFmtId="165" fontId="0" fillId="16" borderId="60" xfId="0" applyNumberFormat="1" applyFill="1" applyBorder="1"/>
    <xf numFmtId="165" fontId="0" fillId="16" borderId="61" xfId="0" applyNumberFormat="1" applyFill="1" applyBorder="1"/>
    <xf numFmtId="0" fontId="12" fillId="0" borderId="62" xfId="0" applyFont="1" applyBorder="1"/>
    <xf numFmtId="0" fontId="11" fillId="0" borderId="8" xfId="0" applyFont="1" applyBorder="1" applyAlignment="1">
      <alignment wrapText="1"/>
    </xf>
    <xf numFmtId="9" fontId="6" fillId="0" borderId="59" xfId="0" applyNumberFormat="1" applyFont="1" applyBorder="1"/>
    <xf numFmtId="9" fontId="6" fillId="0" borderId="60" xfId="0" applyNumberFormat="1" applyFont="1" applyBorder="1"/>
    <xf numFmtId="9" fontId="6" fillId="0" borderId="61" xfId="0" applyNumberFormat="1" applyFont="1" applyBorder="1"/>
    <xf numFmtId="0" fontId="5" fillId="0" borderId="66" xfId="0" applyFont="1" applyBorder="1" applyAlignment="1">
      <alignment horizontal="center"/>
    </xf>
    <xf numFmtId="0" fontId="5" fillId="0" borderId="67" xfId="0" applyFont="1" applyBorder="1" applyAlignment="1">
      <alignment horizontal="center"/>
    </xf>
    <xf numFmtId="0" fontId="5" fillId="0" borderId="68" xfId="0" applyFont="1" applyBorder="1" applyAlignment="1">
      <alignment horizontal="center"/>
    </xf>
    <xf numFmtId="0" fontId="18" fillId="0" borderId="0" xfId="0" applyFont="1"/>
    <xf numFmtId="0" fontId="19" fillId="0" borderId="0" xfId="0" applyFont="1"/>
    <xf numFmtId="0" fontId="5" fillId="13" borderId="0" xfId="0" applyFont="1" applyFill="1"/>
    <xf numFmtId="0" fontId="0" fillId="17" borderId="0" xfId="0" applyFill="1"/>
    <xf numFmtId="43" fontId="6" fillId="0" borderId="60" xfId="18" applyFont="1" applyBorder="1"/>
    <xf numFmtId="43" fontId="6" fillId="0" borderId="61" xfId="18" applyFont="1" applyBorder="1"/>
    <xf numFmtId="9" fontId="20" fillId="0" borderId="59" xfId="0" applyNumberFormat="1" applyFont="1" applyBorder="1"/>
    <xf numFmtId="43" fontId="20" fillId="0" borderId="60" xfId="18" applyFont="1" applyBorder="1"/>
    <xf numFmtId="43" fontId="20" fillId="0" borderId="61" xfId="18" applyFont="1" applyBorder="1"/>
    <xf numFmtId="169" fontId="0" fillId="0" borderId="60" xfId="0" applyNumberFormat="1" applyFont="1" applyBorder="1"/>
    <xf numFmtId="169" fontId="0" fillId="0" borderId="61" xfId="0" applyNumberFormat="1" applyFont="1" applyBorder="1"/>
    <xf numFmtId="0" fontId="0" fillId="0" borderId="0" xfId="0" applyBorder="1"/>
    <xf numFmtId="8" fontId="12" fillId="0" borderId="0" xfId="0" applyNumberFormat="1" applyFont="1"/>
    <xf numFmtId="8" fontId="12" fillId="13" borderId="0" xfId="0" applyNumberFormat="1" applyFont="1" applyFill="1"/>
    <xf numFmtId="0" fontId="12" fillId="0" borderId="0" xfId="0" applyFont="1" applyAlignment="1">
      <alignment horizontal="center"/>
    </xf>
    <xf numFmtId="0" fontId="0" fillId="18" borderId="0" xfId="0" applyFill="1"/>
    <xf numFmtId="0" fontId="21" fillId="0" borderId="69" xfId="0" applyFont="1" applyBorder="1" applyAlignment="1">
      <alignment horizontal="center" vertical="center"/>
    </xf>
    <xf numFmtId="0" fontId="21" fillId="0" borderId="70" xfId="0" applyFont="1" applyBorder="1" applyAlignment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13" fillId="0" borderId="49" xfId="0" applyFont="1" applyBorder="1" applyAlignment="1">
      <alignment horizontal="left" indent="1"/>
    </xf>
    <xf numFmtId="0" fontId="13" fillId="0" borderId="51" xfId="0" applyFont="1" applyBorder="1" applyAlignment="1">
      <alignment horizontal="left" indent="1"/>
    </xf>
    <xf numFmtId="0" fontId="13" fillId="0" borderId="53" xfId="0" applyFont="1" applyBorder="1" applyAlignment="1">
      <alignment horizontal="left" indent="1"/>
    </xf>
    <xf numFmtId="0" fontId="0" fillId="0" borderId="72" xfId="0" applyBorder="1" applyAlignment="1">
      <alignment horizontal="center"/>
    </xf>
    <xf numFmtId="0" fontId="0" fillId="0" borderId="72" xfId="0" applyBorder="1" applyAlignment="1">
      <alignment horizontal="left" indent="2"/>
    </xf>
    <xf numFmtId="0" fontId="22" fillId="0" borderId="0" xfId="0" applyFont="1" applyAlignment="1">
      <alignment horizontal="center"/>
    </xf>
    <xf numFmtId="0" fontId="13" fillId="0" borderId="0" xfId="0" applyFont="1" applyAlignment="1">
      <alignment vertical="top"/>
    </xf>
    <xf numFmtId="0" fontId="14" fillId="0" borderId="0" xfId="0" applyFont="1" applyAlignment="1"/>
    <xf numFmtId="0" fontId="0" fillId="0" borderId="0" xfId="0" applyAlignment="1">
      <alignment horizontal="center"/>
    </xf>
    <xf numFmtId="0" fontId="23" fillId="0" borderId="0" xfId="0" applyFont="1"/>
    <xf numFmtId="9" fontId="0" fillId="0" borderId="0" xfId="17" applyNumberFormat="1" applyFont="1"/>
    <xf numFmtId="0" fontId="23" fillId="0" borderId="0" xfId="0" applyFont="1" applyFill="1" applyAlignment="1">
      <alignment horizontal="center"/>
    </xf>
    <xf numFmtId="0" fontId="0" fillId="0" borderId="73" xfId="0" applyBorder="1"/>
    <xf numFmtId="0" fontId="24" fillId="13" borderId="0" xfId="0" applyFont="1" applyFill="1"/>
    <xf numFmtId="0" fontId="25" fillId="0" borderId="0" xfId="0" applyFont="1"/>
    <xf numFmtId="0" fontId="26" fillId="0" borderId="0" xfId="0" applyFont="1"/>
    <xf numFmtId="8" fontId="27" fillId="0" borderId="0" xfId="0" applyNumberFormat="1" applyFont="1" applyBorder="1"/>
    <xf numFmtId="0" fontId="28" fillId="0" borderId="0" xfId="0" applyFont="1"/>
    <xf numFmtId="0" fontId="0" fillId="0" borderId="74" xfId="0" applyBorder="1"/>
    <xf numFmtId="0" fontId="0" fillId="0" borderId="75" xfId="0" applyBorder="1"/>
    <xf numFmtId="9" fontId="0" fillId="0" borderId="76" xfId="0" applyNumberFormat="1" applyBorder="1"/>
    <xf numFmtId="0" fontId="0" fillId="0" borderId="77" xfId="0" applyBorder="1"/>
    <xf numFmtId="9" fontId="0" fillId="0" borderId="78" xfId="0" applyNumberFormat="1" applyBorder="1"/>
    <xf numFmtId="0" fontId="0" fillId="0" borderId="79" xfId="0" applyBorder="1"/>
    <xf numFmtId="9" fontId="0" fillId="0" borderId="80" xfId="0" applyNumberFormat="1" applyBorder="1"/>
    <xf numFmtId="169" fontId="0" fillId="0" borderId="78" xfId="0" applyNumberFormat="1" applyBorder="1"/>
    <xf numFmtId="0" fontId="0" fillId="0" borderId="77" xfId="0" applyFill="1" applyBorder="1"/>
    <xf numFmtId="0" fontId="0" fillId="0" borderId="79" xfId="0" applyFill="1" applyBorder="1"/>
    <xf numFmtId="169" fontId="0" fillId="0" borderId="80" xfId="0" applyNumberFormat="1" applyBorder="1"/>
    <xf numFmtId="169" fontId="0" fillId="0" borderId="78" xfId="17" applyNumberFormat="1" applyFont="1" applyBorder="1"/>
    <xf numFmtId="169" fontId="0" fillId="0" borderId="80" xfId="17" applyNumberFormat="1" applyFont="1" applyBorder="1"/>
    <xf numFmtId="0" fontId="5" fillId="19" borderId="0" xfId="0" applyFont="1" applyFill="1"/>
    <xf numFmtId="165" fontId="0" fillId="0" borderId="73" xfId="18" applyNumberFormat="1" applyFont="1" applyBorder="1"/>
    <xf numFmtId="165" fontId="0" fillId="0" borderId="76" xfId="18" applyNumberFormat="1" applyFont="1" applyBorder="1"/>
    <xf numFmtId="165" fontId="0" fillId="0" borderId="0" xfId="18" applyNumberFormat="1" applyFont="1" applyBorder="1"/>
    <xf numFmtId="165" fontId="0" fillId="0" borderId="78" xfId="18" applyNumberFormat="1" applyFont="1" applyBorder="1"/>
    <xf numFmtId="0" fontId="0" fillId="19" borderId="0" xfId="0" applyFill="1"/>
    <xf numFmtId="0" fontId="29" fillId="0" borderId="0" xfId="0" applyFont="1"/>
    <xf numFmtId="9" fontId="0" fillId="0" borderId="76" xfId="17" applyFont="1" applyBorder="1"/>
    <xf numFmtId="9" fontId="0" fillId="0" borderId="78" xfId="17" applyFont="1" applyBorder="1"/>
    <xf numFmtId="9" fontId="0" fillId="0" borderId="80" xfId="17" applyFont="1" applyBorder="1"/>
    <xf numFmtId="9" fontId="0" fillId="6" borderId="76" xfId="17" applyFont="1" applyFill="1" applyBorder="1"/>
    <xf numFmtId="165" fontId="0" fillId="6" borderId="74" xfId="18" applyNumberFormat="1" applyFont="1" applyFill="1" applyBorder="1"/>
    <xf numFmtId="165" fontId="0" fillId="6" borderId="80" xfId="18" applyNumberFormat="1" applyFont="1" applyFill="1" applyBorder="1"/>
    <xf numFmtId="169" fontId="0" fillId="6" borderId="76" xfId="17" applyNumberFormat="1" applyFont="1" applyFill="1" applyBorder="1"/>
    <xf numFmtId="169" fontId="0" fillId="6" borderId="76" xfId="0" applyNumberFormat="1" applyFill="1" applyBorder="1"/>
    <xf numFmtId="0" fontId="30" fillId="0" borderId="0" xfId="0" applyFont="1"/>
    <xf numFmtId="9" fontId="0" fillId="0" borderId="73" xfId="17" applyFont="1" applyBorder="1"/>
    <xf numFmtId="9" fontId="0" fillId="0" borderId="0" xfId="17" applyFont="1" applyBorder="1"/>
    <xf numFmtId="9" fontId="0" fillId="0" borderId="74" xfId="17" applyFont="1" applyBorder="1"/>
    <xf numFmtId="0" fontId="0" fillId="0" borderId="80" xfId="0" applyBorder="1"/>
    <xf numFmtId="170" fontId="31" fillId="20" borderId="81" xfId="1" applyNumberFormat="1" applyFont="1" applyFill="1" applyBorder="1" applyAlignment="1" applyProtection="1">
      <alignment horizontal="center" vertical="center" wrapText="1"/>
      <protection locked="0"/>
    </xf>
    <xf numFmtId="170" fontId="31" fillId="20" borderId="76" xfId="1" applyNumberFormat="1" applyFont="1" applyFill="1" applyBorder="1" applyAlignment="1" applyProtection="1">
      <alignment horizontal="center" vertical="center" wrapText="1"/>
      <protection locked="0"/>
    </xf>
    <xf numFmtId="170" fontId="31" fillId="20" borderId="78" xfId="1" applyNumberFormat="1" applyFont="1" applyFill="1" applyBorder="1" applyAlignment="1" applyProtection="1">
      <alignment horizontal="center" vertical="center" wrapText="1"/>
      <protection locked="0"/>
    </xf>
    <xf numFmtId="170" fontId="31" fillId="20" borderId="8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82" xfId="0" applyBorder="1"/>
    <xf numFmtId="0" fontId="32" fillId="0" borderId="0" xfId="0" applyFont="1"/>
    <xf numFmtId="0" fontId="0" fillId="0" borderId="73" xfId="0" applyBorder="1" applyAlignment="1">
      <alignment horizontal="center"/>
    </xf>
    <xf numFmtId="0" fontId="0" fillId="0" borderId="76" xfId="0" applyBorder="1" applyAlignment="1">
      <alignment horizontal="center"/>
    </xf>
    <xf numFmtId="0" fontId="5" fillId="0" borderId="0" xfId="0" applyFont="1" applyBorder="1" applyAlignment="1">
      <alignment horizontal="center"/>
    </xf>
    <xf numFmtId="1" fontId="0" fillId="14" borderId="78" xfId="0" applyNumberFormat="1" applyFill="1" applyBorder="1" applyAlignment="1">
      <alignment horizontal="center"/>
    </xf>
    <xf numFmtId="0" fontId="0" fillId="14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170" fontId="0" fillId="0" borderId="0" xfId="18" applyNumberFormat="1" applyFont="1" applyFill="1" applyBorder="1" applyAlignment="1">
      <alignment horizontal="center"/>
    </xf>
    <xf numFmtId="170" fontId="0" fillId="14" borderId="78" xfId="0" applyNumberFormat="1" applyFill="1" applyBorder="1" applyAlignment="1">
      <alignment horizontal="center"/>
    </xf>
    <xf numFmtId="170" fontId="0" fillId="14" borderId="0" xfId="0" applyNumberFormat="1" applyFill="1" applyBorder="1" applyAlignment="1">
      <alignment horizontal="center"/>
    </xf>
  </cellXfs>
  <cellStyles count="20">
    <cellStyle name="Milliers" xfId="18" builtinId="3"/>
    <cellStyle name="Milliers 2" xfId="2"/>
    <cellStyle name="Milliers 3" xfId="3"/>
    <cellStyle name="Monétaire" xfId="19" builtinId="4"/>
    <cellStyle name="Normal" xfId="0" builtinId="0"/>
    <cellStyle name="Normal 2" xfId="4"/>
    <cellStyle name="Normal 3" xfId="5"/>
    <cellStyle name="Normal 4" xfId="6"/>
    <cellStyle name="Normal 5" xfId="7"/>
    <cellStyle name="Normal 5 2" xfId="8"/>
    <cellStyle name="Normal 6" xfId="9"/>
    <cellStyle name="Normal 7" xfId="10"/>
    <cellStyle name="Normal 8" xfId="1"/>
    <cellStyle name="Pourcentage" xfId="17" builtinId="5"/>
    <cellStyle name="Pourcentage 2" xfId="12"/>
    <cellStyle name="Pourcentage 2 2" xfId="13"/>
    <cellStyle name="Pourcentage 3" xfId="14"/>
    <cellStyle name="Pourcentage 4" xfId="15"/>
    <cellStyle name="Pourcentage 5" xfId="11"/>
    <cellStyle name="SAPBEXstdItem" xfId="16"/>
  </cellStyles>
  <dxfs count="6">
    <dxf>
      <fill>
        <patternFill>
          <bgColor rgb="FFFFFF00"/>
        </patternFill>
      </fill>
    </dxf>
    <dxf>
      <font>
        <color rgb="FFFFCC00"/>
      </font>
      <fill>
        <patternFill patternType="solid">
          <fgColor indexed="64"/>
          <bgColor rgb="FFFFFFCC"/>
        </patternFill>
      </fill>
    </dxf>
    <dxf>
      <font>
        <color theme="4" tint="-0.24994659260841701"/>
      </font>
      <fill>
        <patternFill>
          <bgColor theme="8" tint="0.79998168889431442"/>
        </patternFill>
      </fill>
    </dxf>
    <dxf>
      <font>
        <color rgb="FF00B050"/>
      </font>
      <fill>
        <patternFill>
          <bgColor theme="6" tint="0.79998168889431442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E5611"/>
      <color rgb="FF37441C"/>
      <color rgb="FF21C529"/>
      <color rgb="FFFFCC00"/>
      <color rgb="FFFFFFCC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200" b="1" i="0" baseline="0">
                <a:effectLst/>
              </a:rPr>
              <a:t>Montant gains achat  sur 5 ans</a:t>
            </a:r>
            <a:endParaRPr lang="fr-FR" sz="1200">
              <a:effectLst/>
            </a:endParaRPr>
          </a:p>
        </c:rich>
      </c:tx>
      <c:layout>
        <c:manualLayout>
          <c:xMode val="edge"/>
          <c:yMode val="edge"/>
          <c:x val="0.2223222903044639"/>
          <c:y val="0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Divers!$D$4</c:f>
              <c:strCache>
                <c:ptCount val="1"/>
                <c:pt idx="0">
                  <c:v>Montant gains achat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cat>
            <c:numRef>
              <c:f>Divers!$E$1:$I$1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Divers!$E$4:$I$4</c:f>
              <c:numCache>
                <c:formatCode>"€"#,##0.00_);[Red]\("€"#,##0.00\)</c:formatCode>
                <c:ptCount val="5"/>
                <c:pt idx="0">
                  <c:v>4000000</c:v>
                </c:pt>
                <c:pt idx="1">
                  <c:v>2800000</c:v>
                </c:pt>
                <c:pt idx="2">
                  <c:v>5000000.0000000009</c:v>
                </c:pt>
                <c:pt idx="3">
                  <c:v>6000000</c:v>
                </c:pt>
                <c:pt idx="4">
                  <c:v>3500000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432832"/>
        <c:axId val="93430912"/>
      </c:barChart>
      <c:lineChart>
        <c:grouping val="standard"/>
        <c:varyColors val="0"/>
        <c:ser>
          <c:idx val="0"/>
          <c:order val="1"/>
          <c:tx>
            <c:strRef>
              <c:f>Divers!$D$9</c:f>
              <c:strCache>
                <c:ptCount val="1"/>
                <c:pt idx="0">
                  <c:v>% de gains/Périmètre traitable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Divers!$E$1:$I$1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Divers!$E$9:$I$9</c:f>
              <c:numCache>
                <c:formatCode>0.00%</c:formatCode>
                <c:ptCount val="5"/>
                <c:pt idx="0">
                  <c:v>3.3333333333333333E-2</c:v>
                </c:pt>
                <c:pt idx="1">
                  <c:v>2.8000000000000001E-2</c:v>
                </c:pt>
                <c:pt idx="2">
                  <c:v>3.8461538461538464E-2</c:v>
                </c:pt>
                <c:pt idx="3">
                  <c:v>4.2857142857142858E-2</c:v>
                </c:pt>
                <c:pt idx="4">
                  <c:v>3.1818181818181815E-2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Divers!$D$10</c:f>
              <c:strCache>
                <c:ptCount val="1"/>
                <c:pt idx="0">
                  <c:v>% de gains/Périmètre traité</c:v>
                </c:pt>
              </c:strCache>
            </c:strRef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Divers!$E$1:$I$1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Divers!$E$10:$I$10</c:f>
              <c:numCache>
                <c:formatCode>0.00%</c:formatCode>
                <c:ptCount val="5"/>
                <c:pt idx="0">
                  <c:v>4.7619047619047616E-2</c:v>
                </c:pt>
                <c:pt idx="1">
                  <c:v>4.2424242424242427E-2</c:v>
                </c:pt>
                <c:pt idx="2">
                  <c:v>5.000000000000001E-2</c:v>
                </c:pt>
                <c:pt idx="3">
                  <c:v>5.7142857142857141E-2</c:v>
                </c:pt>
                <c:pt idx="4">
                  <c:v>4.5454545454545456E-2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07104"/>
        <c:axId val="93408640"/>
      </c:lineChart>
      <c:catAx>
        <c:axId val="9340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408640"/>
        <c:crosses val="autoZero"/>
        <c:auto val="0"/>
        <c:lblAlgn val="ctr"/>
        <c:lblOffset val="100"/>
        <c:noMultiLvlLbl val="0"/>
      </c:catAx>
      <c:valAx>
        <c:axId val="93408640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407104"/>
        <c:crosses val="autoZero"/>
        <c:crossBetween val="between"/>
      </c:valAx>
      <c:valAx>
        <c:axId val="93430912"/>
        <c:scaling>
          <c:orientation val="minMax"/>
        </c:scaling>
        <c:delete val="0"/>
        <c:axPos val="r"/>
        <c:numFmt formatCode="#,##0_)\K&quot;€&quot;;[Red]\(#,##0\)\K&quot;€&quot;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432832"/>
        <c:crosses val="max"/>
        <c:crossBetween val="between"/>
        <c:dispUnits>
          <c:builtInUnit val="thousands"/>
        </c:dispUnits>
      </c:valAx>
      <c:catAx>
        <c:axId val="93432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3430912"/>
        <c:crosses val="autoZero"/>
        <c:auto val="1"/>
        <c:lblAlgn val="ctr"/>
        <c:lblOffset val="100"/>
        <c:noMultiLvlLbl val="0"/>
      </c:catAx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>
                <a:solidFill>
                  <a:sysClr val="windowText" lastClr="000000"/>
                </a:solidFill>
              </a:rPr>
              <a:t>Taux d'actions mutualisées</a:t>
            </a:r>
            <a:r>
              <a:rPr lang="fr-FR" sz="1200" baseline="0">
                <a:solidFill>
                  <a:sysClr val="windowText" lastClr="000000"/>
                </a:solidFill>
              </a:rPr>
              <a:t> </a:t>
            </a:r>
            <a:r>
              <a:rPr lang="fr-FR" sz="1200">
                <a:solidFill>
                  <a:sysClr val="windowText" lastClr="000000"/>
                </a:solidFill>
              </a:rPr>
              <a:t>du </a:t>
            </a:r>
            <a:r>
              <a:rPr lang="fr-FR" sz="1200"/>
              <a:t>PAAT </a:t>
            </a:r>
          </a:p>
        </c:rich>
      </c:tx>
      <c:layout>
        <c:manualLayout>
          <c:xMode val="edge"/>
          <c:yMode val="edge"/>
          <c:x val="8.105439496467727E-2"/>
          <c:y val="4.771542149687407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94648277324448"/>
          <c:y val="0.24166281048887964"/>
          <c:w val="0.57150340705566249"/>
          <c:h val="0.639918772063660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'2emePARTIE'!$A$53</c:f>
              <c:strCache>
                <c:ptCount val="1"/>
                <c:pt idx="0">
                  <c:v>% d'actions totalement mutualisées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solidFill>
                      <a:schemeClr val="accent6">
                        <a:lumMod val="50000"/>
                      </a:schemeClr>
                    </a:solidFill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'2emePARTIE'!$B$39:$D$39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'2emePARTIE'!$B$53:$D$53</c:f>
              <c:numCache>
                <c:formatCode>0%</c:formatCode>
                <c:ptCount val="3"/>
                <c:pt idx="0">
                  <c:v>0.05</c:v>
                </c:pt>
                <c:pt idx="1">
                  <c:v>0.08</c:v>
                </c:pt>
                <c:pt idx="2">
                  <c:v>0.11</c:v>
                </c:pt>
              </c:numCache>
            </c:numRef>
          </c:val>
        </c:ser>
        <c:ser>
          <c:idx val="1"/>
          <c:order val="1"/>
          <c:tx>
            <c:strRef>
              <c:f>'2emePARTIE'!$A$52</c:f>
              <c:strCache>
                <c:ptCount val="1"/>
                <c:pt idx="0">
                  <c:v>% d'actions partiellement mutualisées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 b="1">
                    <a:solidFill>
                      <a:schemeClr val="accent1">
                        <a:lumMod val="50000"/>
                      </a:schemeClr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'2emePARTIE'!$B$39:$D$39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'2emePARTIE'!$B$52:$D$52</c:f>
              <c:numCache>
                <c:formatCode>0%</c:formatCode>
                <c:ptCount val="3"/>
                <c:pt idx="0">
                  <c:v>0.2</c:v>
                </c:pt>
                <c:pt idx="1">
                  <c:v>0.27</c:v>
                </c:pt>
                <c:pt idx="2">
                  <c:v>0.32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894016"/>
        <c:axId val="99895552"/>
      </c:barChart>
      <c:catAx>
        <c:axId val="9989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895552"/>
        <c:crosses val="autoZero"/>
        <c:auto val="1"/>
        <c:lblAlgn val="ctr"/>
        <c:lblOffset val="100"/>
        <c:noMultiLvlLbl val="0"/>
      </c:catAx>
      <c:valAx>
        <c:axId val="99895552"/>
        <c:scaling>
          <c:orientation val="minMax"/>
          <c:min val="0"/>
        </c:scaling>
        <c:delete val="0"/>
        <c:axPos val="l"/>
        <c:majorGridlines>
          <c:spPr>
            <a:ln w="3175"/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894016"/>
        <c:crosses val="autoZero"/>
        <c:crossBetween val="between"/>
        <c:majorUnit val="0.1"/>
      </c:valAx>
    </c:plotArea>
    <c:legend>
      <c:legendPos val="r"/>
      <c:layout>
        <c:manualLayout>
          <c:xMode val="edge"/>
          <c:yMode val="edge"/>
          <c:x val="0.70193038699397114"/>
          <c:y val="0.22634099414640774"/>
          <c:w val="0.29392659885099776"/>
          <c:h val="0.5120966062402180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Performance périmètre</a:t>
            </a:r>
            <a:r>
              <a:rPr lang="en-US" sz="1200" b="1" baseline="0"/>
              <a:t> </a:t>
            </a:r>
            <a:r>
              <a:rPr lang="en-US" sz="1200" b="1"/>
              <a:t>traitable vs périmètre traité </a:t>
            </a:r>
          </a:p>
        </c:rich>
      </c:tx>
      <c:layout>
        <c:manualLayout>
          <c:xMode val="edge"/>
          <c:yMode val="edge"/>
          <c:x val="8.2414032635777887E-2"/>
          <c:y val="1.97530864197530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687609421221052E-2"/>
          <c:y val="0.13166666848462175"/>
          <c:w val="0.69240857488651819"/>
          <c:h val="0.69853210675859212"/>
        </c:manualLayout>
      </c:layout>
      <c:bubbleChart>
        <c:varyColors val="0"/>
        <c:ser>
          <c:idx val="1"/>
          <c:order val="0"/>
          <c:tx>
            <c:strRef>
              <c:f>'2emePARTIE'!$D$76</c:f>
              <c:strCache>
                <c:ptCount val="1"/>
                <c:pt idx="0">
                  <c:v>Périmètre traité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 w="25400">
              <a:solidFill>
                <a:schemeClr val="tx1"/>
              </a:solidFill>
            </a:ln>
          </c:spPr>
          <c:invertIfNegative val="0"/>
          <c:dPt>
            <c:idx val="12"/>
            <c:invertIfNegative val="0"/>
            <c:bubble3D val="1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tx1"/>
                </a:solidFill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sz="1100" b="1">
                        <a:solidFill>
                          <a:srgbClr val="FFFF00"/>
                        </a:solidFill>
                      </a:rPr>
                      <a:t>2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100" b="1">
                        <a:solidFill>
                          <a:srgbClr val="FFFF00"/>
                        </a:solidFill>
                      </a:rPr>
                      <a:t>3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100" b="1">
                        <a:solidFill>
                          <a:srgbClr val="FFFF00"/>
                        </a:solidFill>
                      </a:rPr>
                      <a:t>4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1100" b="1">
                        <a:solidFill>
                          <a:srgbClr val="FFFF00"/>
                        </a:solidFill>
                      </a:rPr>
                      <a:t>5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100" b="1">
                        <a:solidFill>
                          <a:srgbClr val="FFFF00"/>
                        </a:solidFill>
                      </a:rPr>
                      <a:t>6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1100" b="1">
                        <a:solidFill>
                          <a:srgbClr val="FFFF00"/>
                        </a:solidFill>
                      </a:rPr>
                      <a:t>7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en-US" sz="1100" b="1">
                        <a:solidFill>
                          <a:srgbClr val="FFFF00"/>
                        </a:solidFill>
                      </a:rPr>
                      <a:t>8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 sz="1100" b="1">
                        <a:solidFill>
                          <a:srgbClr val="FFFF00"/>
                        </a:solidFill>
                      </a:rPr>
                      <a:t>9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 sz="1100" b="1">
                        <a:solidFill>
                          <a:srgbClr val="FFFF00"/>
                        </a:solidFill>
                      </a:rPr>
                      <a:t>10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 sz="1100" b="1">
                        <a:solidFill>
                          <a:srgbClr val="FFFF00"/>
                        </a:solidFill>
                      </a:rPr>
                      <a:t>11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 sz="1100" b="1">
                        <a:solidFill>
                          <a:srgbClr val="FFFF00"/>
                        </a:solidFill>
                      </a:rPr>
                      <a:t>12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 sz="1100" b="1">
                        <a:solidFill>
                          <a:srgbClr val="FFFF00"/>
                        </a:solidFill>
                      </a:rPr>
                      <a:t>13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US" sz="1100" b="1">
                        <a:solidFill>
                          <a:srgbClr val="FFFF00"/>
                        </a:solidFill>
                      </a:rPr>
                      <a:t>1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>
                    <a:solidFill>
                      <a:srgbClr val="FFFF00"/>
                    </a:solidFill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'2emePARTIE'!$C$77:$C$89</c:f>
              <c:numCache>
                <c:formatCode>0.00%</c:formatCode>
                <c:ptCount val="13"/>
                <c:pt idx="0">
                  <c:v>4.4999999999999998E-2</c:v>
                </c:pt>
                <c:pt idx="1">
                  <c:v>3.7999999999999999E-2</c:v>
                </c:pt>
                <c:pt idx="2">
                  <c:v>4.3999999999999997E-2</c:v>
                </c:pt>
                <c:pt idx="3">
                  <c:v>3.4000000000000002E-2</c:v>
                </c:pt>
                <c:pt idx="4">
                  <c:v>3.5000000000000003E-2</c:v>
                </c:pt>
                <c:pt idx="5">
                  <c:v>3.6999999999999998E-2</c:v>
                </c:pt>
                <c:pt idx="6">
                  <c:v>4.7E-2</c:v>
                </c:pt>
                <c:pt idx="7">
                  <c:v>3.5000000000000003E-2</c:v>
                </c:pt>
                <c:pt idx="8">
                  <c:v>2.7E-2</c:v>
                </c:pt>
                <c:pt idx="9">
                  <c:v>4.4999999999999998E-2</c:v>
                </c:pt>
                <c:pt idx="10">
                  <c:v>2.8000000000000001E-2</c:v>
                </c:pt>
                <c:pt idx="11">
                  <c:v>5.0999999999999997E-2</c:v>
                </c:pt>
                <c:pt idx="12">
                  <c:v>3.8833333333333338E-2</c:v>
                </c:pt>
              </c:numCache>
            </c:numRef>
          </c:xVal>
          <c:yVal>
            <c:numRef>
              <c:f>'2emePARTIE'!$D$77:$D$89</c:f>
              <c:numCache>
                <c:formatCode>0.00%</c:formatCode>
                <c:ptCount val="13"/>
                <c:pt idx="0">
                  <c:v>3.7999999999999999E-2</c:v>
                </c:pt>
                <c:pt idx="1">
                  <c:v>4.4999999999999998E-2</c:v>
                </c:pt>
                <c:pt idx="2">
                  <c:v>2.9000000000000001E-2</c:v>
                </c:pt>
                <c:pt idx="3">
                  <c:v>3.3000000000000002E-2</c:v>
                </c:pt>
                <c:pt idx="4">
                  <c:v>3.7999999999999999E-2</c:v>
                </c:pt>
                <c:pt idx="5">
                  <c:v>4.1000000000000002E-2</c:v>
                </c:pt>
                <c:pt idx="6">
                  <c:v>2.5000000000000001E-2</c:v>
                </c:pt>
                <c:pt idx="7">
                  <c:v>2.5999999999999999E-2</c:v>
                </c:pt>
                <c:pt idx="8">
                  <c:v>5.2999999999999999E-2</c:v>
                </c:pt>
                <c:pt idx="9">
                  <c:v>4.2000000000000003E-2</c:v>
                </c:pt>
                <c:pt idx="10">
                  <c:v>5.3999999999999999E-2</c:v>
                </c:pt>
                <c:pt idx="11">
                  <c:v>4.3999999999999997E-2</c:v>
                </c:pt>
                <c:pt idx="12">
                  <c:v>3.9E-2</c:v>
                </c:pt>
              </c:numCache>
            </c:numRef>
          </c:yVal>
          <c:bubbleSize>
            <c:numRef>
              <c:f>'2emePARTIE'!$E$77:$E$89</c:f>
              <c:numCache>
                <c:formatCode>_-* #,##0\ _€_-;\-* #,##0\ _€_-;_-* "-"??\ _€_-;_-@_-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bubbleSize>
          <c:bubble3D val="1"/>
        </c:ser>
        <c:ser>
          <c:idx val="0"/>
          <c:order val="1"/>
          <c:invertIfNegative val="0"/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50"/>
        <c:showNegBubbles val="0"/>
        <c:axId val="100074240"/>
        <c:axId val="100076160"/>
      </c:bubbleChart>
      <c:valAx>
        <c:axId val="100074240"/>
        <c:scaling>
          <c:orientation val="minMax"/>
          <c:min val="2.5000000000000012E-2"/>
        </c:scaling>
        <c:delete val="0"/>
        <c:axPos val="b"/>
        <c:title>
          <c:tx>
            <c:rich>
              <a:bodyPr/>
              <a:lstStyle/>
              <a:p>
                <a:pPr>
                  <a:defRPr sz="800">
                    <a:solidFill>
                      <a:schemeClr val="accent1">
                        <a:lumMod val="50000"/>
                      </a:schemeClr>
                    </a:solidFill>
                  </a:defRPr>
                </a:pPr>
                <a:r>
                  <a:rPr lang="en-US" sz="800">
                    <a:solidFill>
                      <a:schemeClr val="accent1">
                        <a:lumMod val="50000"/>
                      </a:schemeClr>
                    </a:solidFill>
                  </a:rPr>
                  <a:t>Périmètre traitable</a:t>
                </a:r>
              </a:p>
            </c:rich>
          </c:tx>
          <c:overlay val="0"/>
        </c:title>
        <c:numFmt formatCode="0.0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076160"/>
        <c:crosses val="autoZero"/>
        <c:crossBetween val="midCat"/>
        <c:majorUnit val="5.0000000000000027E-3"/>
      </c:valAx>
      <c:valAx>
        <c:axId val="100076160"/>
        <c:scaling>
          <c:orientation val="minMax"/>
          <c:min val="2.0000000000000011E-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800">
                    <a:solidFill>
                      <a:schemeClr val="accent1">
                        <a:lumMod val="50000"/>
                      </a:schemeClr>
                    </a:solidFill>
                  </a:defRPr>
                </a:pPr>
                <a:r>
                  <a:rPr lang="en-US" sz="800">
                    <a:solidFill>
                      <a:schemeClr val="accent1">
                        <a:lumMod val="50000"/>
                      </a:schemeClr>
                    </a:solidFill>
                  </a:rPr>
                  <a:t>Périmimètre traité</a:t>
                </a:r>
              </a:p>
            </c:rich>
          </c:tx>
          <c:overlay val="0"/>
        </c:title>
        <c:numFmt formatCode="0.0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074240"/>
        <c:crosses val="autoZero"/>
        <c:crossBetween val="midCat"/>
        <c:majorUnit val="5.0000000000000027E-3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Taux  d'évolution des</a:t>
            </a:r>
            <a:r>
              <a:rPr lang="fr-FR" sz="1200" baseline="0"/>
              <a:t> dépenses et des remboursements  T2A</a:t>
            </a:r>
            <a:endParaRPr lang="fr-FR" sz="1200"/>
          </a:p>
        </c:rich>
      </c:tx>
      <c:layout>
        <c:manualLayout>
          <c:xMode val="edge"/>
          <c:yMode val="edge"/>
          <c:x val="5.3653629975564332E-2"/>
          <c:y val="3.59374978437777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334080890452981E-2"/>
          <c:y val="0.19887855194519896"/>
          <c:w val="0.64835337636322654"/>
          <c:h val="0.6935782066391005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'2emePARTIE'!$A$11</c:f>
              <c:strCache>
                <c:ptCount val="1"/>
                <c:pt idx="0">
                  <c:v>Recettes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22225">
              <a:solidFill>
                <a:schemeClr val="accent4">
                  <a:lumMod val="75000"/>
                </a:schemeClr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'2emePARTIE'!$C$2:$E$2</c:f>
              <c:numCache>
                <c:formatCode>General</c:formatCod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numCache>
            </c:numRef>
          </c:cat>
          <c:val>
            <c:numRef>
              <c:f>'2emePARTIE'!$C$11:$E$11</c:f>
              <c:numCache>
                <c:formatCode>0.0%</c:formatCode>
                <c:ptCount val="3"/>
                <c:pt idx="0">
                  <c:v>2.5000000000000001E-2</c:v>
                </c:pt>
                <c:pt idx="1">
                  <c:v>3.5000000000000003E-2</c:v>
                </c:pt>
                <c:pt idx="2">
                  <c:v>0.01</c:v>
                </c:pt>
              </c:numCache>
            </c:numRef>
          </c:val>
        </c:ser>
        <c:ser>
          <c:idx val="2"/>
          <c:order val="1"/>
          <c:tx>
            <c:strRef>
              <c:f>'2emePARTIE'!$A$12</c:f>
              <c:strCache>
                <c:ptCount val="1"/>
                <c:pt idx="0">
                  <c:v>Achats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'2emePARTIE'!$C$2:$E$2</c:f>
              <c:numCache>
                <c:formatCode>General</c:formatCod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numCache>
            </c:numRef>
          </c:cat>
          <c:val>
            <c:numRef>
              <c:f>'2emePARTIE'!$C$12:$E$12</c:f>
              <c:numCache>
                <c:formatCode>0.0%</c:formatCode>
                <c:ptCount val="3"/>
                <c:pt idx="0">
                  <c:v>1.9E-2</c:v>
                </c:pt>
                <c:pt idx="1">
                  <c:v>2.1000000000000001E-2</c:v>
                </c:pt>
                <c:pt idx="2">
                  <c:v>1.2E-2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195712"/>
        <c:axId val="100213888"/>
      </c:barChart>
      <c:lineChart>
        <c:grouping val="standard"/>
        <c:varyColors val="0"/>
        <c:ser>
          <c:idx val="0"/>
          <c:order val="2"/>
          <c:tx>
            <c:strRef>
              <c:f>'2emePARTIE'!$A$13</c:f>
              <c:strCache>
                <c:ptCount val="1"/>
                <c:pt idx="0">
                  <c:v>Ratio : %Dep / %Rem</c:v>
                </c:pt>
              </c:strCache>
            </c:strRef>
          </c:tx>
          <c:spPr>
            <a:ln w="31750">
              <a:solidFill>
                <a:schemeClr val="accent2">
                  <a:lumMod val="75000"/>
                </a:schemeClr>
              </a:solidFill>
            </a:ln>
          </c:spPr>
          <c:marker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chemeClr val="accent1">
                    <a:shade val="58000"/>
                    <a:shade val="95000"/>
                    <a:satMod val="105000"/>
                  </a:schemeClr>
                </a:solidFill>
              </a:ln>
            </c:spPr>
          </c:marker>
          <c:dLbls>
            <c:numFmt formatCode="#,##0.0" sourceLinked="0"/>
            <c:txPr>
              <a:bodyPr/>
              <a:lstStyle/>
              <a:p>
                <a:pPr>
                  <a:defRPr sz="1000">
                    <a:solidFill>
                      <a:schemeClr val="accent6">
                        <a:lumMod val="50000"/>
                      </a:schemeClr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'2emePARTIE'!$C$2:$E$2</c:f>
              <c:numCache>
                <c:formatCode>General</c:formatCod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numCache>
            </c:numRef>
          </c:cat>
          <c:val>
            <c:numRef>
              <c:f>'2emePARTIE'!$C$13:$E$13</c:f>
              <c:numCache>
                <c:formatCode>_(* #,##0.00_);_(* \(#,##0.00\);_(* "-"??_);_(@_)</c:formatCode>
                <c:ptCount val="3"/>
                <c:pt idx="0">
                  <c:v>0.7599999999999999</c:v>
                </c:pt>
                <c:pt idx="1">
                  <c:v>0.6</c:v>
                </c:pt>
                <c:pt idx="2">
                  <c:v>1.2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'2emePARTIE'!$A$14</c:f>
              <c:strCache>
                <c:ptCount val="1"/>
                <c:pt idx="0">
                  <c:v>Barre 100%</c:v>
                </c:pt>
              </c:strCache>
            </c:strRef>
          </c:tx>
          <c:spPr>
            <a:ln w="44450"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'2emePARTIE'!$C$2:$E$2</c:f>
              <c:numCache>
                <c:formatCode>General</c:formatCod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numCache>
            </c:numRef>
          </c:cat>
          <c:val>
            <c:numRef>
              <c:f>'2emePARTIE'!$C$14:$E$14</c:f>
              <c:numCache>
                <c:formatCode>_(* #,##0.00_);_(* \(#,##0.00\);_(* "-"??_);_(@_)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17216"/>
        <c:axId val="100215424"/>
      </c:lineChart>
      <c:catAx>
        <c:axId val="10019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213888"/>
        <c:crosses val="autoZero"/>
        <c:auto val="1"/>
        <c:lblAlgn val="ctr"/>
        <c:lblOffset val="100"/>
        <c:noMultiLvlLbl val="0"/>
      </c:catAx>
      <c:valAx>
        <c:axId val="100213888"/>
        <c:scaling>
          <c:orientation val="minMax"/>
        </c:scaling>
        <c:delete val="0"/>
        <c:axPos val="l"/>
        <c:majorGridlines/>
        <c:numFmt formatCode="0.0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195712"/>
        <c:crosses val="autoZero"/>
        <c:crossBetween val="between"/>
      </c:valAx>
      <c:valAx>
        <c:axId val="100215424"/>
        <c:scaling>
          <c:orientation val="minMax"/>
        </c:scaling>
        <c:delete val="0"/>
        <c:axPos val="r"/>
        <c:numFmt formatCode="#,##0.00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solidFill>
                  <a:sysClr val="windowText" lastClr="000000"/>
                </a:solidFill>
              </a:defRPr>
            </a:pPr>
            <a:endParaRPr lang="fr-FR"/>
          </a:p>
        </c:txPr>
        <c:crossAx val="100217216"/>
        <c:crosses val="max"/>
        <c:crossBetween val="between"/>
        <c:majorUnit val="0.2"/>
      </c:valAx>
      <c:catAx>
        <c:axId val="1002172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021542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154230376350691"/>
          <c:y val="0.28823068591319984"/>
          <c:w val="0.15477698150921507"/>
          <c:h val="0.54675674571006216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Bilan économique</a:t>
            </a:r>
            <a:r>
              <a:rPr lang="fr-FR" sz="1200" baseline="0"/>
              <a:t> des marchés de l'année</a:t>
            </a:r>
            <a:endParaRPr lang="fr-FR" sz="1200"/>
          </a:p>
        </c:rich>
      </c:tx>
      <c:layout>
        <c:manualLayout>
          <c:xMode val="edge"/>
          <c:yMode val="edge"/>
          <c:x val="0.18870079831635614"/>
          <c:y val="3.59373342421134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624737262463825E-2"/>
          <c:y val="0.16028578297103563"/>
          <c:w val="0.77806006246463655"/>
          <c:h val="0.7548680721487267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'2emePARTIE'!$A$104</c:f>
              <c:strCache>
                <c:ptCount val="1"/>
                <c:pt idx="0">
                  <c:v>Gains imputés sur année N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rgbClr val="002060"/>
              </a:solidFill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0070C0"/>
              </a:solidFill>
              <a:ln>
                <a:solidFill>
                  <a:srgbClr val="002060"/>
                </a:solidFill>
              </a:ln>
            </c:spPr>
          </c:dPt>
          <c:cat>
            <c:strRef>
              <c:f>'2emePARTIE'!$B$103:$N$103</c:f>
              <c:strCache>
                <c:ptCount val="13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  <c:pt idx="12">
                  <c:v>TOTAL</c:v>
                </c:pt>
              </c:strCache>
            </c:strRef>
          </c:cat>
          <c:val>
            <c:numRef>
              <c:f>'2emePARTIE'!$B$104:$N$104</c:f>
              <c:numCache>
                <c:formatCode>"€"#,##0.00_);[Red]\("€"#,##0.00\)</c:formatCode>
                <c:ptCount val="13"/>
                <c:pt idx="0">
                  <c:v>550000</c:v>
                </c:pt>
                <c:pt idx="1">
                  <c:v>100000</c:v>
                </c:pt>
                <c:pt idx="2">
                  <c:v>337500</c:v>
                </c:pt>
                <c:pt idx="3">
                  <c:v>266666.66666666669</c:v>
                </c:pt>
                <c:pt idx="4">
                  <c:v>128333.33333333333</c:v>
                </c:pt>
                <c:pt idx="5">
                  <c:v>250000</c:v>
                </c:pt>
                <c:pt idx="6">
                  <c:v>241666.66666666669</c:v>
                </c:pt>
                <c:pt idx="7">
                  <c:v>26666.666666666668</c:v>
                </c:pt>
                <c:pt idx="8">
                  <c:v>218750</c:v>
                </c:pt>
                <c:pt idx="9">
                  <c:v>25000</c:v>
                </c:pt>
                <c:pt idx="10">
                  <c:v>80833.333333333328</c:v>
                </c:pt>
                <c:pt idx="11">
                  <c:v>0</c:v>
                </c:pt>
                <c:pt idx="12">
                  <c:v>2225416.666666667</c:v>
                </c:pt>
              </c:numCache>
            </c:numRef>
          </c:val>
        </c:ser>
        <c:ser>
          <c:idx val="0"/>
          <c:order val="1"/>
          <c:tx>
            <c:strRef>
              <c:f>'2emePARTIE'!$A$105</c:f>
              <c:strCache>
                <c:ptCount val="1"/>
                <c:pt idx="0">
                  <c:v>Gains année N+1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solidFill>
                <a:srgbClr val="002060"/>
              </a:solidFill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37441C"/>
              </a:solidFill>
              <a:ln>
                <a:solidFill>
                  <a:srgbClr val="002060"/>
                </a:solidFill>
              </a:ln>
            </c:spPr>
          </c:dPt>
          <c:cat>
            <c:strRef>
              <c:f>'2emePARTIE'!$B$103:$N$103</c:f>
              <c:strCache>
                <c:ptCount val="13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  <c:pt idx="12">
                  <c:v>TOTAL</c:v>
                </c:pt>
              </c:strCache>
            </c:strRef>
          </c:cat>
          <c:val>
            <c:numRef>
              <c:f>'2emePARTIE'!$B$105:$N$105</c:f>
              <c:numCache>
                <c:formatCode>"€"#,##0.00_);[Red]\("€"#,##0.00\)</c:formatCode>
                <c:ptCount val="13"/>
                <c:pt idx="0">
                  <c:v>50000</c:v>
                </c:pt>
                <c:pt idx="1">
                  <c:v>20000</c:v>
                </c:pt>
                <c:pt idx="2">
                  <c:v>112500</c:v>
                </c:pt>
                <c:pt idx="3">
                  <c:v>133333.33333333334</c:v>
                </c:pt>
                <c:pt idx="4">
                  <c:v>91666.666666666657</c:v>
                </c:pt>
                <c:pt idx="5">
                  <c:v>250000</c:v>
                </c:pt>
                <c:pt idx="6">
                  <c:v>338333.33333333337</c:v>
                </c:pt>
                <c:pt idx="7">
                  <c:v>53333.333333333336</c:v>
                </c:pt>
                <c:pt idx="8">
                  <c:v>656250</c:v>
                </c:pt>
                <c:pt idx="9">
                  <c:v>125000</c:v>
                </c:pt>
                <c:pt idx="10">
                  <c:v>889166.66666666663</c:v>
                </c:pt>
                <c:pt idx="11">
                  <c:v>275000</c:v>
                </c:pt>
                <c:pt idx="12">
                  <c:v>2994583.3333333335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axId val="100243328"/>
        <c:axId val="100244864"/>
      </c:barChart>
      <c:catAx>
        <c:axId val="10024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244864"/>
        <c:crossesAt val="0"/>
        <c:auto val="1"/>
        <c:lblAlgn val="ctr"/>
        <c:lblOffset val="100"/>
        <c:noMultiLvlLbl val="0"/>
      </c:catAx>
      <c:valAx>
        <c:axId val="100244864"/>
        <c:scaling>
          <c:orientation val="minMax"/>
          <c:max val="3000000"/>
        </c:scaling>
        <c:delete val="0"/>
        <c:axPos val="l"/>
        <c:majorGridlines/>
        <c:numFmt formatCode="#,##0_)\K&quot;€&quot;;[Red]\(#,##0\)\K&quot;€&quot;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243328"/>
        <c:crosses val="autoZero"/>
        <c:crossBetween val="between"/>
        <c:dispUnits>
          <c:builtInUnit val="thousands"/>
        </c:dispUnits>
      </c:valAx>
    </c:plotArea>
    <c:legend>
      <c:legendPos val="r"/>
      <c:layout>
        <c:manualLayout>
          <c:xMode val="edge"/>
          <c:yMode val="edge"/>
          <c:x val="0.87624385413751626"/>
          <c:y val="8.4442930823474538E-2"/>
          <c:w val="0.1154039519402235"/>
          <c:h val="0.34139810012238481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ln>
      <a:solidFill>
        <a:srgbClr val="002060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Part des</a:t>
            </a:r>
            <a:r>
              <a:rPr lang="fr-FR" sz="1200" baseline="0"/>
              <a:t> achats réalisés hors marché</a:t>
            </a:r>
            <a:endParaRPr lang="fr-FR" sz="1200"/>
          </a:p>
        </c:rich>
      </c:tx>
      <c:layout>
        <c:manualLayout>
          <c:xMode val="edge"/>
          <c:yMode val="edge"/>
          <c:x val="0.11518734371141022"/>
          <c:y val="3.59372353303284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624737262463825E-2"/>
          <c:y val="0.16028578297103563"/>
          <c:w val="0.67538870205044155"/>
          <c:h val="0.712107565885964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'2emePARTIE'!$A$134</c:f>
              <c:strCache>
                <c:ptCount val="1"/>
                <c:pt idx="0">
                  <c:v>2017 : Mt HA sans recours à une procédure HA / Mt total des HA du GHT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'2emePARTIE'!$B$132:$I$132</c:f>
              <c:strCache>
                <c:ptCount val="8"/>
                <c:pt idx="0">
                  <c:v>T12017</c:v>
                </c:pt>
                <c:pt idx="1">
                  <c:v>T22017</c:v>
                </c:pt>
                <c:pt idx="2">
                  <c:v>T32017</c:v>
                </c:pt>
                <c:pt idx="3">
                  <c:v>T42017</c:v>
                </c:pt>
                <c:pt idx="4">
                  <c:v>T12018</c:v>
                </c:pt>
                <c:pt idx="5">
                  <c:v>T22018</c:v>
                </c:pt>
                <c:pt idx="6">
                  <c:v>T32018</c:v>
                </c:pt>
                <c:pt idx="7">
                  <c:v>T42018</c:v>
                </c:pt>
              </c:strCache>
            </c:strRef>
          </c:cat>
          <c:val>
            <c:numRef>
              <c:f>'2emePARTIE'!$B$134:$I$134</c:f>
              <c:numCache>
                <c:formatCode>0%</c:formatCode>
                <c:ptCount val="8"/>
                <c:pt idx="0">
                  <c:v>0.16</c:v>
                </c:pt>
                <c:pt idx="1">
                  <c:v>0.11</c:v>
                </c:pt>
                <c:pt idx="2">
                  <c:v>0.14000000000000001</c:v>
                </c:pt>
                <c:pt idx="3">
                  <c:v>0.19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0"/>
          <c:order val="1"/>
          <c:tx>
            <c:strRef>
              <c:f>'2emePARTIE'!$A$135</c:f>
              <c:strCache>
                <c:ptCount val="1"/>
                <c:pt idx="0">
                  <c:v>2018 : Mt HA sans recours à une procédure HA / Mt total des HA du GHT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'2emePARTIE'!$B$132:$I$132</c:f>
              <c:strCache>
                <c:ptCount val="8"/>
                <c:pt idx="0">
                  <c:v>T12017</c:v>
                </c:pt>
                <c:pt idx="1">
                  <c:v>T22017</c:v>
                </c:pt>
                <c:pt idx="2">
                  <c:v>T32017</c:v>
                </c:pt>
                <c:pt idx="3">
                  <c:v>T42017</c:v>
                </c:pt>
                <c:pt idx="4">
                  <c:v>T12018</c:v>
                </c:pt>
                <c:pt idx="5">
                  <c:v>T22018</c:v>
                </c:pt>
                <c:pt idx="6">
                  <c:v>T32018</c:v>
                </c:pt>
                <c:pt idx="7">
                  <c:v>T42018</c:v>
                </c:pt>
              </c:strCache>
            </c:strRef>
          </c:cat>
          <c:val>
            <c:numRef>
              <c:f>'2emePARTIE'!$B$135:$I$135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%">
                  <c:v>0.09</c:v>
                </c:pt>
                <c:pt idx="5" formatCode="0%">
                  <c:v>0.13</c:v>
                </c:pt>
                <c:pt idx="6" formatCode="0%">
                  <c:v>7.0000000000000007E-2</c:v>
                </c:pt>
                <c:pt idx="7" formatCode="0%">
                  <c:v>0.09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axId val="100336384"/>
        <c:axId val="100337920"/>
      </c:barChart>
      <c:catAx>
        <c:axId val="10033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337920"/>
        <c:crossesAt val="0"/>
        <c:auto val="1"/>
        <c:lblAlgn val="ctr"/>
        <c:lblOffset val="100"/>
        <c:noMultiLvlLbl val="0"/>
      </c:catAx>
      <c:valAx>
        <c:axId val="100337920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336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13820641723732"/>
          <c:y val="0.23614883072514647"/>
          <c:w val="0.18845861804776493"/>
          <c:h val="0.68102327902087711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fr-FR" sz="1200"/>
              <a:t>Nombre de</a:t>
            </a:r>
            <a:r>
              <a:rPr lang="fr-FR" sz="1200" baseline="0"/>
              <a:t>  ruptures de stock dans l'année</a:t>
            </a:r>
            <a:br>
              <a:rPr lang="fr-FR" sz="1200" baseline="0"/>
            </a:br>
            <a:r>
              <a:rPr lang="fr-FR" sz="900" b="0" baseline="0"/>
              <a:t>(pour l'ensemble des références suivies en stock au sein du GHT)</a:t>
            </a:r>
            <a:endParaRPr lang="fr-FR" sz="900" b="0"/>
          </a:p>
        </c:rich>
      </c:tx>
      <c:layout>
        <c:manualLayout>
          <c:xMode val="edge"/>
          <c:yMode val="edge"/>
          <c:x val="0.18870079831635614"/>
          <c:y val="3.59373342421134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624737262463825E-2"/>
          <c:y val="0.16028578297103563"/>
          <c:w val="0.76567480366141538"/>
          <c:h val="0.6574192191771220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'2emePARTIE'!$A$149</c:f>
              <c:strCache>
                <c:ptCount val="1"/>
                <c:pt idx="0">
                  <c:v>2017 : Nombre de ruptures mensuelles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'2emePARTIE'!$B$148:$Y$148</c:f>
              <c:strCache>
                <c:ptCount val="24"/>
                <c:pt idx="0">
                  <c:v>Jan-17</c:v>
                </c:pt>
                <c:pt idx="1">
                  <c:v>Fev-17</c:v>
                </c:pt>
                <c:pt idx="2">
                  <c:v>Mars-17</c:v>
                </c:pt>
                <c:pt idx="3">
                  <c:v>Avril-17</c:v>
                </c:pt>
                <c:pt idx="4">
                  <c:v>Mai-17</c:v>
                </c:pt>
                <c:pt idx="5">
                  <c:v>Juin-17</c:v>
                </c:pt>
                <c:pt idx="6">
                  <c:v>Juil-17</c:v>
                </c:pt>
                <c:pt idx="7">
                  <c:v>Aout-17</c:v>
                </c:pt>
                <c:pt idx="8">
                  <c:v>Sept-17</c:v>
                </c:pt>
                <c:pt idx="9">
                  <c:v>Oct-17</c:v>
                </c:pt>
                <c:pt idx="10">
                  <c:v>Nov-17</c:v>
                </c:pt>
                <c:pt idx="11">
                  <c:v>Dec-17</c:v>
                </c:pt>
                <c:pt idx="12">
                  <c:v>Jan-18</c:v>
                </c:pt>
                <c:pt idx="13">
                  <c:v>Fev-18</c:v>
                </c:pt>
                <c:pt idx="14">
                  <c:v>Mars-18</c:v>
                </c:pt>
                <c:pt idx="15">
                  <c:v>Avril-18</c:v>
                </c:pt>
                <c:pt idx="16">
                  <c:v>Mai-18</c:v>
                </c:pt>
                <c:pt idx="17">
                  <c:v>Juin-18</c:v>
                </c:pt>
                <c:pt idx="18">
                  <c:v>Juil-18</c:v>
                </c:pt>
                <c:pt idx="19">
                  <c:v>Aout-18</c:v>
                </c:pt>
                <c:pt idx="20">
                  <c:v>Sept-18</c:v>
                </c:pt>
                <c:pt idx="21">
                  <c:v>Oct-18</c:v>
                </c:pt>
                <c:pt idx="22">
                  <c:v>Nov-18</c:v>
                </c:pt>
                <c:pt idx="23">
                  <c:v>Dec-18</c:v>
                </c:pt>
              </c:strCache>
            </c:strRef>
          </c:cat>
          <c:val>
            <c:numRef>
              <c:f>'2emePARTIE'!$B$149:$Y$149</c:f>
              <c:numCache>
                <c:formatCode>General</c:formatCode>
                <c:ptCount val="24"/>
                <c:pt idx="0">
                  <c:v>1</c:v>
                </c:pt>
                <c:pt idx="1">
                  <c:v>5</c:v>
                </c:pt>
                <c:pt idx="2">
                  <c:v>8</c:v>
                </c:pt>
                <c:pt idx="3">
                  <c:v>15</c:v>
                </c:pt>
                <c:pt idx="4">
                  <c:v>13</c:v>
                </c:pt>
                <c:pt idx="5">
                  <c:v>11</c:v>
                </c:pt>
                <c:pt idx="6">
                  <c:v>4</c:v>
                </c:pt>
                <c:pt idx="7">
                  <c:v>5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0"/>
          <c:order val="1"/>
          <c:tx>
            <c:strRef>
              <c:f>'2emePARTIE'!$A$150</c:f>
              <c:strCache>
                <c:ptCount val="1"/>
                <c:pt idx="0">
                  <c:v>2018 : Nombre de ruptures mensuelles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'2emePARTIE'!$B$148:$Y$148</c:f>
              <c:strCache>
                <c:ptCount val="24"/>
                <c:pt idx="0">
                  <c:v>Jan-17</c:v>
                </c:pt>
                <c:pt idx="1">
                  <c:v>Fev-17</c:v>
                </c:pt>
                <c:pt idx="2">
                  <c:v>Mars-17</c:v>
                </c:pt>
                <c:pt idx="3">
                  <c:v>Avril-17</c:v>
                </c:pt>
                <c:pt idx="4">
                  <c:v>Mai-17</c:v>
                </c:pt>
                <c:pt idx="5">
                  <c:v>Juin-17</c:v>
                </c:pt>
                <c:pt idx="6">
                  <c:v>Juil-17</c:v>
                </c:pt>
                <c:pt idx="7">
                  <c:v>Aout-17</c:v>
                </c:pt>
                <c:pt idx="8">
                  <c:v>Sept-17</c:v>
                </c:pt>
                <c:pt idx="9">
                  <c:v>Oct-17</c:v>
                </c:pt>
                <c:pt idx="10">
                  <c:v>Nov-17</c:v>
                </c:pt>
                <c:pt idx="11">
                  <c:v>Dec-17</c:v>
                </c:pt>
                <c:pt idx="12">
                  <c:v>Jan-18</c:v>
                </c:pt>
                <c:pt idx="13">
                  <c:v>Fev-18</c:v>
                </c:pt>
                <c:pt idx="14">
                  <c:v>Mars-18</c:v>
                </c:pt>
                <c:pt idx="15">
                  <c:v>Avril-18</c:v>
                </c:pt>
                <c:pt idx="16">
                  <c:v>Mai-18</c:v>
                </c:pt>
                <c:pt idx="17">
                  <c:v>Juin-18</c:v>
                </c:pt>
                <c:pt idx="18">
                  <c:v>Juil-18</c:v>
                </c:pt>
                <c:pt idx="19">
                  <c:v>Aout-18</c:v>
                </c:pt>
                <c:pt idx="20">
                  <c:v>Sept-18</c:v>
                </c:pt>
                <c:pt idx="21">
                  <c:v>Oct-18</c:v>
                </c:pt>
                <c:pt idx="22">
                  <c:v>Nov-18</c:v>
                </c:pt>
                <c:pt idx="23">
                  <c:v>Dec-18</c:v>
                </c:pt>
              </c:strCache>
            </c:strRef>
          </c:cat>
          <c:val>
            <c:numRef>
              <c:f>'2emePARTIE'!$B$150:$Y$150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</c:v>
                </c:pt>
                <c:pt idx="13">
                  <c:v>2</c:v>
                </c:pt>
                <c:pt idx="14">
                  <c:v>7</c:v>
                </c:pt>
                <c:pt idx="15">
                  <c:v>2</c:v>
                </c:pt>
                <c:pt idx="16">
                  <c:v>7</c:v>
                </c:pt>
                <c:pt idx="17">
                  <c:v>6</c:v>
                </c:pt>
                <c:pt idx="18">
                  <c:v>0</c:v>
                </c:pt>
                <c:pt idx="19">
                  <c:v>5</c:v>
                </c:pt>
                <c:pt idx="20">
                  <c:v>10</c:v>
                </c:pt>
                <c:pt idx="21">
                  <c:v>1</c:v>
                </c:pt>
                <c:pt idx="22">
                  <c:v>3</c:v>
                </c:pt>
                <c:pt idx="23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axId val="100392960"/>
        <c:axId val="100394496"/>
      </c:barChart>
      <c:catAx>
        <c:axId val="10039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394496"/>
        <c:crossesAt val="0"/>
        <c:auto val="1"/>
        <c:lblAlgn val="ctr"/>
        <c:lblOffset val="100"/>
        <c:noMultiLvlLbl val="0"/>
      </c:catAx>
      <c:valAx>
        <c:axId val="100394496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392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214137492904686"/>
          <c:y val="0.34904803341157409"/>
          <c:w val="0.11323892317797081"/>
          <c:h val="0.44654062675763789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Nombre de</a:t>
            </a:r>
            <a:r>
              <a:rPr lang="fr-FR" sz="1200" baseline="0"/>
              <a:t> marchés du GHT notifiés mensuellement </a:t>
            </a:r>
            <a:r>
              <a:rPr lang="fr-FR" sz="1200" b="0" baseline="0"/>
              <a:t>(hors avenants)</a:t>
            </a:r>
            <a:endParaRPr lang="fr-FR" sz="1200" b="0"/>
          </a:p>
        </c:rich>
      </c:tx>
      <c:layout>
        <c:manualLayout>
          <c:xMode val="edge"/>
          <c:yMode val="edge"/>
          <c:x val="0.18870079831635614"/>
          <c:y val="3.59373342421134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624737262463825E-2"/>
          <c:y val="0.18199700143773714"/>
          <c:w val="0.76650452279167969"/>
          <c:h val="0.6174158579703884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'2emePARTIE'!$A$177</c:f>
              <c:strCache>
                <c:ptCount val="1"/>
                <c:pt idx="0">
                  <c:v>2015 : Nombre de marchés notifiés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'2emePARTIE'!$B$176:$AK$176</c:f>
              <c:strCache>
                <c:ptCount val="36"/>
                <c:pt idx="0">
                  <c:v>Jan-15</c:v>
                </c:pt>
                <c:pt idx="1">
                  <c:v>Fev-15</c:v>
                </c:pt>
                <c:pt idx="2">
                  <c:v>Mars-15</c:v>
                </c:pt>
                <c:pt idx="3">
                  <c:v>Avril-15</c:v>
                </c:pt>
                <c:pt idx="4">
                  <c:v>Mai-15</c:v>
                </c:pt>
                <c:pt idx="5">
                  <c:v>Juin-15</c:v>
                </c:pt>
                <c:pt idx="6">
                  <c:v>Juil-15</c:v>
                </c:pt>
                <c:pt idx="7">
                  <c:v>Aout-15</c:v>
                </c:pt>
                <c:pt idx="8">
                  <c:v>Sept-15</c:v>
                </c:pt>
                <c:pt idx="9">
                  <c:v>Oct-15</c:v>
                </c:pt>
                <c:pt idx="10">
                  <c:v>Nov-15</c:v>
                </c:pt>
                <c:pt idx="11">
                  <c:v>Dec-15</c:v>
                </c:pt>
                <c:pt idx="12">
                  <c:v>Jan-16</c:v>
                </c:pt>
                <c:pt idx="13">
                  <c:v>Fev-16</c:v>
                </c:pt>
                <c:pt idx="14">
                  <c:v>Mars-16</c:v>
                </c:pt>
                <c:pt idx="15">
                  <c:v>Avril-16</c:v>
                </c:pt>
                <c:pt idx="16">
                  <c:v>Mai-16</c:v>
                </c:pt>
                <c:pt idx="17">
                  <c:v>Juin-16</c:v>
                </c:pt>
                <c:pt idx="18">
                  <c:v>Juil-16</c:v>
                </c:pt>
                <c:pt idx="19">
                  <c:v>Aout-16</c:v>
                </c:pt>
                <c:pt idx="20">
                  <c:v>Sept-16</c:v>
                </c:pt>
                <c:pt idx="21">
                  <c:v>Oct-16</c:v>
                </c:pt>
                <c:pt idx="22">
                  <c:v>Nov-16</c:v>
                </c:pt>
                <c:pt idx="23">
                  <c:v>Dec-16</c:v>
                </c:pt>
                <c:pt idx="24">
                  <c:v>Jan-17</c:v>
                </c:pt>
                <c:pt idx="25">
                  <c:v>Fev-17</c:v>
                </c:pt>
                <c:pt idx="26">
                  <c:v>Mars-17</c:v>
                </c:pt>
                <c:pt idx="27">
                  <c:v>Avril-17</c:v>
                </c:pt>
                <c:pt idx="28">
                  <c:v>Mai-17</c:v>
                </c:pt>
                <c:pt idx="29">
                  <c:v>Juin-17</c:v>
                </c:pt>
                <c:pt idx="30">
                  <c:v>Juil-17</c:v>
                </c:pt>
                <c:pt idx="31">
                  <c:v>Aout-17</c:v>
                </c:pt>
                <c:pt idx="32">
                  <c:v>Sept-17</c:v>
                </c:pt>
                <c:pt idx="33">
                  <c:v>Oct-17</c:v>
                </c:pt>
                <c:pt idx="34">
                  <c:v>Nov-17</c:v>
                </c:pt>
                <c:pt idx="35">
                  <c:v>Dec-17</c:v>
                </c:pt>
              </c:strCache>
            </c:strRef>
          </c:cat>
          <c:val>
            <c:numRef>
              <c:f>'2emePARTIE'!$B$177:$AK$177</c:f>
              <c:numCache>
                <c:formatCode>General</c:formatCode>
                <c:ptCount val="36"/>
                <c:pt idx="0">
                  <c:v>23</c:v>
                </c:pt>
                <c:pt idx="1">
                  <c:v>5</c:v>
                </c:pt>
                <c:pt idx="2">
                  <c:v>12</c:v>
                </c:pt>
                <c:pt idx="3">
                  <c:v>6</c:v>
                </c:pt>
                <c:pt idx="4">
                  <c:v>2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8</c:v>
                </c:pt>
                <c:pt idx="10">
                  <c:v>3</c:v>
                </c:pt>
                <c:pt idx="11">
                  <c:v>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0"/>
          <c:order val="1"/>
          <c:tx>
            <c:strRef>
              <c:f>'2emePARTIE'!$A$178</c:f>
              <c:strCache>
                <c:ptCount val="1"/>
                <c:pt idx="0">
                  <c:v>2016 : Nombre de marchés notifiés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'2emePARTIE'!$B$176:$AK$176</c:f>
              <c:strCache>
                <c:ptCount val="36"/>
                <c:pt idx="0">
                  <c:v>Jan-15</c:v>
                </c:pt>
                <c:pt idx="1">
                  <c:v>Fev-15</c:v>
                </c:pt>
                <c:pt idx="2">
                  <c:v>Mars-15</c:v>
                </c:pt>
                <c:pt idx="3">
                  <c:v>Avril-15</c:v>
                </c:pt>
                <c:pt idx="4">
                  <c:v>Mai-15</c:v>
                </c:pt>
                <c:pt idx="5">
                  <c:v>Juin-15</c:v>
                </c:pt>
                <c:pt idx="6">
                  <c:v>Juil-15</c:v>
                </c:pt>
                <c:pt idx="7">
                  <c:v>Aout-15</c:v>
                </c:pt>
                <c:pt idx="8">
                  <c:v>Sept-15</c:v>
                </c:pt>
                <c:pt idx="9">
                  <c:v>Oct-15</c:v>
                </c:pt>
                <c:pt idx="10">
                  <c:v>Nov-15</c:v>
                </c:pt>
                <c:pt idx="11">
                  <c:v>Dec-15</c:v>
                </c:pt>
                <c:pt idx="12">
                  <c:v>Jan-16</c:v>
                </c:pt>
                <c:pt idx="13">
                  <c:v>Fev-16</c:v>
                </c:pt>
                <c:pt idx="14">
                  <c:v>Mars-16</c:v>
                </c:pt>
                <c:pt idx="15">
                  <c:v>Avril-16</c:v>
                </c:pt>
                <c:pt idx="16">
                  <c:v>Mai-16</c:v>
                </c:pt>
                <c:pt idx="17">
                  <c:v>Juin-16</c:v>
                </c:pt>
                <c:pt idx="18">
                  <c:v>Juil-16</c:v>
                </c:pt>
                <c:pt idx="19">
                  <c:v>Aout-16</c:v>
                </c:pt>
                <c:pt idx="20">
                  <c:v>Sept-16</c:v>
                </c:pt>
                <c:pt idx="21">
                  <c:v>Oct-16</c:v>
                </c:pt>
                <c:pt idx="22">
                  <c:v>Nov-16</c:v>
                </c:pt>
                <c:pt idx="23">
                  <c:v>Dec-16</c:v>
                </c:pt>
                <c:pt idx="24">
                  <c:v>Jan-17</c:v>
                </c:pt>
                <c:pt idx="25">
                  <c:v>Fev-17</c:v>
                </c:pt>
                <c:pt idx="26">
                  <c:v>Mars-17</c:v>
                </c:pt>
                <c:pt idx="27">
                  <c:v>Avril-17</c:v>
                </c:pt>
                <c:pt idx="28">
                  <c:v>Mai-17</c:v>
                </c:pt>
                <c:pt idx="29">
                  <c:v>Juin-17</c:v>
                </c:pt>
                <c:pt idx="30">
                  <c:v>Juil-17</c:v>
                </c:pt>
                <c:pt idx="31">
                  <c:v>Aout-17</c:v>
                </c:pt>
                <c:pt idx="32">
                  <c:v>Sept-17</c:v>
                </c:pt>
                <c:pt idx="33">
                  <c:v>Oct-17</c:v>
                </c:pt>
                <c:pt idx="34">
                  <c:v>Nov-17</c:v>
                </c:pt>
                <c:pt idx="35">
                  <c:v>Dec-17</c:v>
                </c:pt>
              </c:strCache>
            </c:strRef>
          </c:cat>
          <c:val>
            <c:numRef>
              <c:f>'2emePARTIE'!$B$178:$AK$178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21</c:v>
                </c:pt>
                <c:pt idx="13">
                  <c:v>9</c:v>
                </c:pt>
                <c:pt idx="14">
                  <c:v>7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3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6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2"/>
          <c:tx>
            <c:strRef>
              <c:f>'2emePARTIE'!$A$179</c:f>
              <c:strCache>
                <c:ptCount val="1"/>
                <c:pt idx="0">
                  <c:v>2017 : Nombre de marchés notifiés</c:v>
                </c:pt>
              </c:strCache>
            </c:strRef>
          </c:tx>
          <c:invertIfNegative val="0"/>
          <c:cat>
            <c:strRef>
              <c:f>'2emePARTIE'!$B$176:$AK$176</c:f>
              <c:strCache>
                <c:ptCount val="36"/>
                <c:pt idx="0">
                  <c:v>Jan-15</c:v>
                </c:pt>
                <c:pt idx="1">
                  <c:v>Fev-15</c:v>
                </c:pt>
                <c:pt idx="2">
                  <c:v>Mars-15</c:v>
                </c:pt>
                <c:pt idx="3">
                  <c:v>Avril-15</c:v>
                </c:pt>
                <c:pt idx="4">
                  <c:v>Mai-15</c:v>
                </c:pt>
                <c:pt idx="5">
                  <c:v>Juin-15</c:v>
                </c:pt>
                <c:pt idx="6">
                  <c:v>Juil-15</c:v>
                </c:pt>
                <c:pt idx="7">
                  <c:v>Aout-15</c:v>
                </c:pt>
                <c:pt idx="8">
                  <c:v>Sept-15</c:v>
                </c:pt>
                <c:pt idx="9">
                  <c:v>Oct-15</c:v>
                </c:pt>
                <c:pt idx="10">
                  <c:v>Nov-15</c:v>
                </c:pt>
                <c:pt idx="11">
                  <c:v>Dec-15</c:v>
                </c:pt>
                <c:pt idx="12">
                  <c:v>Jan-16</c:v>
                </c:pt>
                <c:pt idx="13">
                  <c:v>Fev-16</c:v>
                </c:pt>
                <c:pt idx="14">
                  <c:v>Mars-16</c:v>
                </c:pt>
                <c:pt idx="15">
                  <c:v>Avril-16</c:v>
                </c:pt>
                <c:pt idx="16">
                  <c:v>Mai-16</c:v>
                </c:pt>
                <c:pt idx="17">
                  <c:v>Juin-16</c:v>
                </c:pt>
                <c:pt idx="18">
                  <c:v>Juil-16</c:v>
                </c:pt>
                <c:pt idx="19">
                  <c:v>Aout-16</c:v>
                </c:pt>
                <c:pt idx="20">
                  <c:v>Sept-16</c:v>
                </c:pt>
                <c:pt idx="21">
                  <c:v>Oct-16</c:v>
                </c:pt>
                <c:pt idx="22">
                  <c:v>Nov-16</c:v>
                </c:pt>
                <c:pt idx="23">
                  <c:v>Dec-16</c:v>
                </c:pt>
                <c:pt idx="24">
                  <c:v>Jan-17</c:v>
                </c:pt>
                <c:pt idx="25">
                  <c:v>Fev-17</c:v>
                </c:pt>
                <c:pt idx="26">
                  <c:v>Mars-17</c:v>
                </c:pt>
                <c:pt idx="27">
                  <c:v>Avril-17</c:v>
                </c:pt>
                <c:pt idx="28">
                  <c:v>Mai-17</c:v>
                </c:pt>
                <c:pt idx="29">
                  <c:v>Juin-17</c:v>
                </c:pt>
                <c:pt idx="30">
                  <c:v>Juil-17</c:v>
                </c:pt>
                <c:pt idx="31">
                  <c:v>Aout-17</c:v>
                </c:pt>
                <c:pt idx="32">
                  <c:v>Sept-17</c:v>
                </c:pt>
                <c:pt idx="33">
                  <c:v>Oct-17</c:v>
                </c:pt>
                <c:pt idx="34">
                  <c:v>Nov-17</c:v>
                </c:pt>
                <c:pt idx="35">
                  <c:v>Dec-17</c:v>
                </c:pt>
              </c:strCache>
            </c:strRef>
          </c:cat>
          <c:val>
            <c:numRef>
              <c:f>'2emePARTIE'!$B$179:$AK$179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26</c:v>
                </c:pt>
                <c:pt idx="25">
                  <c:v>11</c:v>
                </c:pt>
                <c:pt idx="26">
                  <c:v>5</c:v>
                </c:pt>
                <c:pt idx="27">
                  <c:v>9</c:v>
                </c:pt>
                <c:pt idx="28">
                  <c:v>7</c:v>
                </c:pt>
                <c:pt idx="29">
                  <c:v>2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axId val="107997440"/>
        <c:axId val="108204032"/>
      </c:barChart>
      <c:catAx>
        <c:axId val="10799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8204032"/>
        <c:crossesAt val="0"/>
        <c:auto val="1"/>
        <c:lblAlgn val="ctr"/>
        <c:lblOffset val="100"/>
        <c:noMultiLvlLbl val="0"/>
      </c:catAx>
      <c:valAx>
        <c:axId val="108204032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7997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903827644647424"/>
          <c:y val="0.18670105085439592"/>
          <c:w val="0.10866945132311329"/>
          <c:h val="0.7000458464697291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Montant moyen</a:t>
            </a:r>
            <a:r>
              <a:rPr lang="fr-FR" sz="1200" baseline="0"/>
              <a:t> de marché par fournisseur </a:t>
            </a:r>
            <a:r>
              <a:rPr lang="fr-FR" sz="1200" b="0" baseline="0"/>
              <a:t>(hors travaux)</a:t>
            </a:r>
            <a:endParaRPr lang="fr-FR" sz="1200" b="0"/>
          </a:p>
        </c:rich>
      </c:tx>
      <c:layout>
        <c:manualLayout>
          <c:xMode val="edge"/>
          <c:yMode val="edge"/>
          <c:x val="7.8430582782785876E-2"/>
          <c:y val="4.6431065041087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624737262463825E-2"/>
          <c:y val="0.21341065512510188"/>
          <c:w val="0.67538870205044155"/>
          <c:h val="0.6589823604433686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'2emePARTIE'!$A$206</c:f>
              <c:strCache>
                <c:ptCount val="1"/>
                <c:pt idx="0">
                  <c:v>Montant moyen global (tous achats confondus)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rgbClr val="002060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002060"/>
                </a:solidFill>
              </a:ln>
            </c:spPr>
          </c:dPt>
          <c:cat>
            <c:strRef>
              <c:f>'2emePARTIE'!$B$205:$F$205</c:f>
              <c:strCache>
                <c:ptCount val="5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  <c:pt idx="4">
                  <c:v>Cumul</c:v>
                </c:pt>
              </c:strCache>
            </c:strRef>
          </c:cat>
          <c:val>
            <c:numRef>
              <c:f>'2emePARTIE'!$B$206:$F$206</c:f>
              <c:numCache>
                <c:formatCode>General</c:formatCode>
                <c:ptCount val="5"/>
                <c:pt idx="0">
                  <c:v>299000</c:v>
                </c:pt>
                <c:pt idx="1">
                  <c:v>170000</c:v>
                </c:pt>
                <c:pt idx="2">
                  <c:v>220000</c:v>
                </c:pt>
                <c:pt idx="3">
                  <c:v>268000</c:v>
                </c:pt>
                <c:pt idx="4">
                  <c:v>239250</c:v>
                </c:pt>
              </c:numCache>
            </c:numRef>
          </c:val>
        </c:ser>
        <c:ser>
          <c:idx val="0"/>
          <c:order val="1"/>
          <c:tx>
            <c:strRef>
              <c:f>'2emePARTIE'!$A$207</c:f>
              <c:strCache>
                <c:ptCount val="1"/>
                <c:pt idx="0">
                  <c:v>Montant moyen global (hors produits de santé)     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rgbClr val="37441C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37441C"/>
                </a:solidFill>
              </a:ln>
            </c:spPr>
          </c:dPt>
          <c:cat>
            <c:strRef>
              <c:f>'2emePARTIE'!$B$205:$F$205</c:f>
              <c:strCache>
                <c:ptCount val="5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  <c:pt idx="4">
                  <c:v>Cumul</c:v>
                </c:pt>
              </c:strCache>
            </c:strRef>
          </c:cat>
          <c:val>
            <c:numRef>
              <c:f>'2emePARTIE'!$B$207:$F$207</c:f>
              <c:numCache>
                <c:formatCode>General</c:formatCode>
                <c:ptCount val="5"/>
                <c:pt idx="0">
                  <c:v>220000</c:v>
                </c:pt>
                <c:pt idx="1">
                  <c:v>152000</c:v>
                </c:pt>
                <c:pt idx="2">
                  <c:v>205000</c:v>
                </c:pt>
                <c:pt idx="3">
                  <c:v>195000</c:v>
                </c:pt>
                <c:pt idx="4">
                  <c:v>193000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axId val="108282240"/>
        <c:axId val="108284160"/>
      </c:barChart>
      <c:lineChart>
        <c:grouping val="standard"/>
        <c:varyColors val="0"/>
        <c:ser>
          <c:idx val="1"/>
          <c:order val="2"/>
          <c:tx>
            <c:strRef>
              <c:f>'2emePARTIE'!$A$208</c:f>
              <c:strCache>
                <c:ptCount val="1"/>
                <c:pt idx="0">
                  <c:v>Seuil 200K€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5"/>
            <c:spPr>
              <a:solidFill>
                <a:schemeClr val="accent2">
                  <a:lumMod val="50000"/>
                </a:schemeClr>
              </a:solidFill>
            </c:spPr>
          </c:marker>
          <c:cat>
            <c:strRef>
              <c:f>'2emePARTIE'!$B$205:$F$205</c:f>
              <c:strCache>
                <c:ptCount val="5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  <c:pt idx="4">
                  <c:v>Cumul</c:v>
                </c:pt>
              </c:strCache>
            </c:strRef>
          </c:cat>
          <c:val>
            <c:numRef>
              <c:f>'2emePARTIE'!$B$208:$F$208</c:f>
              <c:numCache>
                <c:formatCode>General</c:formatCode>
                <c:ptCount val="5"/>
                <c:pt idx="0">
                  <c:v>200000</c:v>
                </c:pt>
                <c:pt idx="1">
                  <c:v>200000</c:v>
                </c:pt>
                <c:pt idx="2">
                  <c:v>200000</c:v>
                </c:pt>
                <c:pt idx="3">
                  <c:v>200000</c:v>
                </c:pt>
                <c:pt idx="4">
                  <c:v>200000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282240"/>
        <c:axId val="108284160"/>
      </c:lineChart>
      <c:lineChart>
        <c:grouping val="standard"/>
        <c:varyColors val="0"/>
        <c:ser>
          <c:idx val="3"/>
          <c:order val="3"/>
          <c:tx>
            <c:strRef>
              <c:f>'2emePARTIE'!$A$209</c:f>
              <c:strCache>
                <c:ptCount val="1"/>
                <c:pt idx="0">
                  <c:v>Seuil 250K€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chemeClr val="accent2">
                  <a:lumMod val="50000"/>
                </a:schemeClr>
              </a:solidFill>
            </c:spPr>
          </c:marker>
          <c:cat>
            <c:strRef>
              <c:f>'2emePARTIE'!$B$205:$F$205</c:f>
              <c:strCache>
                <c:ptCount val="5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  <c:pt idx="4">
                  <c:v>Cumul</c:v>
                </c:pt>
              </c:strCache>
            </c:strRef>
          </c:cat>
          <c:val>
            <c:numRef>
              <c:f>'2emePARTIE'!$B$209:$F$209</c:f>
              <c:numCache>
                <c:formatCode>General</c:formatCode>
                <c:ptCount val="5"/>
                <c:pt idx="0">
                  <c:v>250000</c:v>
                </c:pt>
                <c:pt idx="1">
                  <c:v>250000</c:v>
                </c:pt>
                <c:pt idx="2">
                  <c:v>250000</c:v>
                </c:pt>
                <c:pt idx="3">
                  <c:v>250000</c:v>
                </c:pt>
                <c:pt idx="4">
                  <c:v>250000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12448"/>
        <c:axId val="108310912"/>
      </c:lineChart>
      <c:catAx>
        <c:axId val="10828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8284160"/>
        <c:crossesAt val="0"/>
        <c:auto val="1"/>
        <c:lblAlgn val="ctr"/>
        <c:lblOffset val="100"/>
        <c:noMultiLvlLbl val="0"/>
      </c:catAx>
      <c:valAx>
        <c:axId val="108284160"/>
        <c:scaling>
          <c:orientation val="minMax"/>
          <c:max val="315000"/>
          <c:min val="50000"/>
        </c:scaling>
        <c:delete val="0"/>
        <c:axPos val="l"/>
        <c:majorGridlines/>
        <c:numFmt formatCode="#,##0_)\K&quot;€&quot;;[Red]\(#,##0\)\K&quot;€&quot;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8282240"/>
        <c:crosses val="autoZero"/>
        <c:crossBetween val="between"/>
        <c:majorUnit val="50000"/>
        <c:dispUnits>
          <c:builtInUnit val="thousands"/>
          <c:dispUnitsLbl/>
        </c:dispUnits>
      </c:valAx>
      <c:valAx>
        <c:axId val="10831091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one"/>
        <c:crossAx val="108312448"/>
        <c:crosses val="max"/>
        <c:crossBetween val="between"/>
      </c:valAx>
      <c:catAx>
        <c:axId val="108312448"/>
        <c:scaling>
          <c:orientation val="minMax"/>
        </c:scaling>
        <c:delete val="1"/>
        <c:axPos val="b"/>
        <c:majorTickMark val="out"/>
        <c:minorTickMark val="none"/>
        <c:tickLblPos val="none"/>
        <c:crossAx val="10831091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9572949878438703"/>
          <c:y val="0.19482944214530323"/>
          <c:w val="0.19738596132485287"/>
          <c:h val="0.71347572515904978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Montant moyen</a:t>
            </a:r>
            <a:r>
              <a:rPr lang="fr-FR" sz="1200" baseline="0"/>
              <a:t> de CA par fournisseur </a:t>
            </a:r>
            <a:r>
              <a:rPr lang="fr-FR" sz="1200" b="0" baseline="0"/>
              <a:t>(hors travaux)</a:t>
            </a:r>
            <a:endParaRPr lang="fr-FR" sz="1200" b="0"/>
          </a:p>
        </c:rich>
      </c:tx>
      <c:layout>
        <c:manualLayout>
          <c:xMode val="edge"/>
          <c:yMode val="edge"/>
          <c:x val="7.8430582782785876E-2"/>
          <c:y val="4.6431065041087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624737262463825E-2"/>
          <c:y val="0.18353356385929012"/>
          <c:w val="0.67538870205044155"/>
          <c:h val="0.6888595188975759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'2emePARTIE'!$A$214</c:f>
              <c:strCache>
                <c:ptCount val="1"/>
                <c:pt idx="0">
                  <c:v>Montant moyen global (tous achats confondus)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2060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dPt>
          <c:cat>
            <c:strRef>
              <c:f>'2emePARTIE'!$B$205:$F$205</c:f>
              <c:strCache>
                <c:ptCount val="5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  <c:pt idx="4">
                  <c:v>Cumul</c:v>
                </c:pt>
              </c:strCache>
            </c:strRef>
          </c:cat>
          <c:val>
            <c:numRef>
              <c:f>'2emePARTIE'!$B$214:$F$214</c:f>
              <c:numCache>
                <c:formatCode>General</c:formatCode>
                <c:ptCount val="5"/>
                <c:pt idx="0">
                  <c:v>319000</c:v>
                </c:pt>
                <c:pt idx="1">
                  <c:v>220000</c:v>
                </c:pt>
                <c:pt idx="2">
                  <c:v>310000</c:v>
                </c:pt>
                <c:pt idx="3">
                  <c:v>255000</c:v>
                </c:pt>
                <c:pt idx="4">
                  <c:v>276000</c:v>
                </c:pt>
              </c:numCache>
            </c:numRef>
          </c:val>
        </c:ser>
        <c:ser>
          <c:idx val="0"/>
          <c:order val="1"/>
          <c:tx>
            <c:strRef>
              <c:f>'2emePARTIE'!$A$215</c:f>
              <c:strCache>
                <c:ptCount val="1"/>
                <c:pt idx="0">
                  <c:v>Montant moyen global (hors produits de santé)     </c:v>
                </c:pt>
              </c:strCache>
            </c:strRef>
          </c:tx>
          <c:spPr>
            <a:solidFill>
              <a:srgbClr val="21C529"/>
            </a:solidFill>
            <a:ln>
              <a:solidFill>
                <a:srgbClr val="37441C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0E5611"/>
              </a:solidFill>
              <a:ln>
                <a:solidFill>
                  <a:srgbClr val="37441C"/>
                </a:solidFill>
              </a:ln>
            </c:spPr>
          </c:dPt>
          <c:cat>
            <c:strRef>
              <c:f>'2emePARTIE'!$B$205:$F$205</c:f>
              <c:strCache>
                <c:ptCount val="5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  <c:pt idx="4">
                  <c:v>Cumul</c:v>
                </c:pt>
              </c:strCache>
            </c:strRef>
          </c:cat>
          <c:val>
            <c:numRef>
              <c:f>'2emePARTIE'!$B$215:$F$215</c:f>
              <c:numCache>
                <c:formatCode>General</c:formatCode>
                <c:ptCount val="5"/>
                <c:pt idx="0">
                  <c:v>230000</c:v>
                </c:pt>
                <c:pt idx="1">
                  <c:v>180000</c:v>
                </c:pt>
                <c:pt idx="2">
                  <c:v>265000</c:v>
                </c:pt>
                <c:pt idx="3">
                  <c:v>220000</c:v>
                </c:pt>
                <c:pt idx="4">
                  <c:v>223750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axId val="109426944"/>
        <c:axId val="109429120"/>
      </c:barChart>
      <c:lineChart>
        <c:grouping val="standard"/>
        <c:varyColors val="0"/>
        <c:ser>
          <c:idx val="1"/>
          <c:order val="2"/>
          <c:tx>
            <c:strRef>
              <c:f>'2emePARTIE'!$A$216</c:f>
              <c:strCache>
                <c:ptCount val="1"/>
                <c:pt idx="0">
                  <c:v>Seuil 250K€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diamond"/>
            <c:size val="5"/>
            <c:spPr>
              <a:solidFill>
                <a:schemeClr val="accent2">
                  <a:lumMod val="50000"/>
                </a:schemeClr>
              </a:solidFill>
            </c:spPr>
          </c:marker>
          <c:cat>
            <c:strRef>
              <c:f>'2emePARTIE'!$B$205:$F$205</c:f>
              <c:strCache>
                <c:ptCount val="5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  <c:pt idx="4">
                  <c:v>Cumul</c:v>
                </c:pt>
              </c:strCache>
            </c:strRef>
          </c:cat>
          <c:val>
            <c:numRef>
              <c:f>'2emePARTIE'!$B$216:$F$216</c:f>
              <c:numCache>
                <c:formatCode>General</c:formatCode>
                <c:ptCount val="5"/>
                <c:pt idx="0">
                  <c:v>250000</c:v>
                </c:pt>
                <c:pt idx="1">
                  <c:v>250000</c:v>
                </c:pt>
                <c:pt idx="2">
                  <c:v>250000</c:v>
                </c:pt>
                <c:pt idx="3">
                  <c:v>250000</c:v>
                </c:pt>
                <c:pt idx="4">
                  <c:v>250000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426944"/>
        <c:axId val="109429120"/>
      </c:lineChart>
      <c:lineChart>
        <c:grouping val="standard"/>
        <c:varyColors val="0"/>
        <c:ser>
          <c:idx val="3"/>
          <c:order val="3"/>
          <c:tx>
            <c:strRef>
              <c:f>'2emePARTIE'!$A$217</c:f>
              <c:strCache>
                <c:ptCount val="1"/>
                <c:pt idx="0">
                  <c:v>Seuil 300K€</c:v>
                </c:pt>
              </c:strCache>
            </c:strRef>
          </c:tx>
          <c:spPr>
            <a:ln w="19050"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6"/>
            <c:spPr>
              <a:solidFill>
                <a:schemeClr val="accent2">
                  <a:lumMod val="50000"/>
                </a:schemeClr>
              </a:solidFill>
            </c:spPr>
          </c:marker>
          <c:cat>
            <c:strRef>
              <c:f>'2emePARTIE'!$B$205:$F$205</c:f>
              <c:strCache>
                <c:ptCount val="5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  <c:pt idx="4">
                  <c:v>Cumul</c:v>
                </c:pt>
              </c:strCache>
            </c:strRef>
          </c:cat>
          <c:val>
            <c:numRef>
              <c:f>'2emePARTIE'!$B$217:$F$217</c:f>
              <c:numCache>
                <c:formatCode>General</c:formatCode>
                <c:ptCount val="5"/>
                <c:pt idx="0">
                  <c:v>300000</c:v>
                </c:pt>
                <c:pt idx="1">
                  <c:v>300000</c:v>
                </c:pt>
                <c:pt idx="2">
                  <c:v>300000</c:v>
                </c:pt>
                <c:pt idx="3">
                  <c:v>300000</c:v>
                </c:pt>
                <c:pt idx="4">
                  <c:v>300000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436928"/>
        <c:axId val="109431040"/>
      </c:lineChart>
      <c:catAx>
        <c:axId val="10942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9429120"/>
        <c:crossesAt val="0"/>
        <c:auto val="1"/>
        <c:lblAlgn val="ctr"/>
        <c:lblOffset val="100"/>
        <c:noMultiLvlLbl val="0"/>
      </c:catAx>
      <c:valAx>
        <c:axId val="109429120"/>
        <c:scaling>
          <c:orientation val="minMax"/>
          <c:max val="320000"/>
          <c:min val="50000"/>
        </c:scaling>
        <c:delete val="0"/>
        <c:axPos val="l"/>
        <c:majorGridlines/>
        <c:numFmt formatCode="#,##0_)\K&quot;€&quot;;[Red]\(#,##0\)\K&quot;€&quot;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9426944"/>
        <c:crosses val="autoZero"/>
        <c:crossBetween val="between"/>
        <c:dispUnits>
          <c:builtInUnit val="thousands"/>
          <c:dispUnitsLbl/>
        </c:dispUnits>
      </c:valAx>
      <c:valAx>
        <c:axId val="10943104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one"/>
        <c:crossAx val="109436928"/>
        <c:crosses val="max"/>
        <c:crossBetween val="between"/>
      </c:valAx>
      <c:catAx>
        <c:axId val="109436928"/>
        <c:scaling>
          <c:orientation val="minMax"/>
        </c:scaling>
        <c:delete val="1"/>
        <c:axPos val="b"/>
        <c:majorTickMark val="out"/>
        <c:minorTickMark val="none"/>
        <c:tickLblPos val="none"/>
        <c:crossAx val="10943104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0261386055372963"/>
          <c:y val="0.23614883072514647"/>
          <c:w val="0.19738596132485287"/>
          <c:h val="0.60722569391944681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>
                <a:solidFill>
                  <a:sysClr val="windowText" lastClr="000000"/>
                </a:solidFill>
              </a:rPr>
              <a:t>Taux de recours global aux opérateurs d'achats mutualisés</a:t>
            </a:r>
            <a:endParaRPr lang="fr-FR" sz="1200"/>
          </a:p>
        </c:rich>
      </c:tx>
      <c:layout>
        <c:manualLayout>
          <c:xMode val="edge"/>
          <c:yMode val="edge"/>
          <c:x val="5.9938228776801043E-2"/>
          <c:y val="6.2287623883080179E-2"/>
        </c:manualLayout>
      </c:layout>
      <c:overlay val="0"/>
    </c:title>
    <c:autoTitleDeleted val="0"/>
    <c:view3D>
      <c:rotX val="30"/>
      <c:rotY val="240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323424823119719"/>
          <c:y val="0.27827488777017628"/>
          <c:w val="0.62228855493629698"/>
          <c:h val="0.63033133678802966"/>
        </c:manualLayout>
      </c:layout>
      <c:pie3DChart>
        <c:varyColors val="1"/>
        <c:ser>
          <c:idx val="1"/>
          <c:order val="0"/>
          <c:tx>
            <c:strRef>
              <c:f>'2emePARTIE'!$A$230:$A$232</c:f>
              <c:strCache>
                <c:ptCount val="1"/>
                <c:pt idx="0">
                  <c:v>Achats locaux GHT Achats opérateurs régionaux Achat opérateurs nationaux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explosion val="1"/>
          <c:dPt>
            <c:idx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2225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0.395173360132692"/>
                  <c:y val="0.1238615664845173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064486154680787"/>
                  <c:y val="-0.1142658806993388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2376263375431794"/>
                  <c:y val="-0.1218214936247723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ln>
                <a:solidFill>
                  <a:schemeClr val="accent1"/>
                </a:solidFill>
                <a:miter lim="800000"/>
              </a:ln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'2emePARTIE'!$A$230:$A$232</c:f>
              <c:strCache>
                <c:ptCount val="3"/>
                <c:pt idx="0">
                  <c:v>Achats locaux GHT</c:v>
                </c:pt>
                <c:pt idx="1">
                  <c:v>Achats opérateurs régionaux</c:v>
                </c:pt>
                <c:pt idx="2">
                  <c:v>Achat opérateurs nationaux</c:v>
                </c:pt>
              </c:strCache>
            </c:strRef>
          </c:cat>
          <c:val>
            <c:numRef>
              <c:f>'2emePARTIE'!$B$230:$B$232</c:f>
              <c:numCache>
                <c:formatCode>0%</c:formatCode>
                <c:ptCount val="3"/>
                <c:pt idx="0">
                  <c:v>0.62</c:v>
                </c:pt>
                <c:pt idx="1">
                  <c:v>0.22</c:v>
                </c:pt>
                <c:pt idx="2">
                  <c:v>0.16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 sz="1200"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Divers!$D$20</c:f>
              <c:strCache>
                <c:ptCount val="1"/>
                <c:pt idx="0">
                  <c:v>Valeur ajoutée
T2A-Total dépenses achat</c:v>
                </c:pt>
              </c:strCache>
            </c:strRef>
          </c:tx>
          <c:invertIfNegative val="0"/>
          <c:cat>
            <c:strRef>
              <c:f>Divers!$E$16:$J$16</c:f>
              <c:strCache>
                <c:ptCount val="6"/>
                <c:pt idx="0">
                  <c:v>S12015</c:v>
                </c:pt>
                <c:pt idx="1">
                  <c:v>S22015</c:v>
                </c:pt>
                <c:pt idx="2">
                  <c:v>S12016</c:v>
                </c:pt>
                <c:pt idx="3">
                  <c:v>S22016</c:v>
                </c:pt>
                <c:pt idx="4">
                  <c:v>S12017</c:v>
                </c:pt>
                <c:pt idx="5">
                  <c:v>S22017</c:v>
                </c:pt>
              </c:strCache>
            </c:strRef>
          </c:cat>
          <c:val>
            <c:numRef>
              <c:f>Divers!$E$20:$J$20</c:f>
              <c:numCache>
                <c:formatCode>"€"#,##0.00_);[Red]\("€"#,##0.00\)</c:formatCode>
                <c:ptCount val="6"/>
                <c:pt idx="0">
                  <c:v>56804500</c:v>
                </c:pt>
                <c:pt idx="1">
                  <c:v>41195500</c:v>
                </c:pt>
                <c:pt idx="2">
                  <c:v>61526150</c:v>
                </c:pt>
                <c:pt idx="3">
                  <c:v>32273850</c:v>
                </c:pt>
                <c:pt idx="4">
                  <c:v>19811900</c:v>
                </c:pt>
                <c:pt idx="5">
                  <c:v>79188100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238656"/>
        <c:axId val="99240192"/>
      </c:barChart>
      <c:catAx>
        <c:axId val="992386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240192"/>
        <c:crosses val="autoZero"/>
        <c:auto val="1"/>
        <c:lblAlgn val="ctr"/>
        <c:lblOffset val="100"/>
        <c:noMultiLvlLbl val="0"/>
      </c:catAx>
      <c:valAx>
        <c:axId val="99240192"/>
        <c:scaling>
          <c:orientation val="minMax"/>
        </c:scaling>
        <c:delete val="0"/>
        <c:axPos val="l"/>
        <c:majorGridlines/>
        <c:numFmt formatCode="#,##0_)\K&quot;€&quot;;[Red]\(#,##0\)\K&quot;€&quot;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238656"/>
        <c:crosses val="autoZero"/>
        <c:crossBetween val="between"/>
        <c:dispUnits>
          <c:builtInUnit val="thousands"/>
        </c:dispUnits>
      </c:valAx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>
                <a:solidFill>
                  <a:sysClr val="windowText" lastClr="000000"/>
                </a:solidFill>
              </a:rPr>
              <a:t>Taux de recours global aux opérateurs nationaux</a:t>
            </a:r>
            <a:endParaRPr lang="fr-FR" sz="1200"/>
          </a:p>
        </c:rich>
      </c:tx>
      <c:layout>
        <c:manualLayout>
          <c:xMode val="edge"/>
          <c:yMode val="edge"/>
          <c:x val="7.7762333621766336E-2"/>
          <c:y val="1.3083473741870761E-2"/>
        </c:manualLayout>
      </c:layout>
      <c:overlay val="0"/>
    </c:title>
    <c:autoTitleDeleted val="0"/>
    <c:view3D>
      <c:rotX val="50"/>
      <c:hPercent val="80"/>
      <c:rotY val="300"/>
      <c:depthPercent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4076429389474252"/>
          <c:y val="0.25466058061131658"/>
          <c:w val="0.57918834018642551"/>
          <c:h val="0.62877198460238437"/>
        </c:manualLayout>
      </c:layout>
      <c:pie3DChart>
        <c:varyColors val="1"/>
        <c:ser>
          <c:idx val="1"/>
          <c:order val="0"/>
          <c:tx>
            <c:strRef>
              <c:f>'2emePARTIE'!$A$241</c:f>
              <c:strCache>
                <c:ptCount val="1"/>
                <c:pt idx="0">
                  <c:v>Taux de recours global aux opérateurs nationaux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2225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1455146247977383"/>
                  <c:y val="1.8911266008362815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21164363782284754"/>
                  <c:y val="4.30660793311929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4374104695478578E-2"/>
                  <c:y val="5.963320733776209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9603248215353173E-2"/>
                  <c:y val="0.1578293084400898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2157894518545862"/>
                  <c:y val="0.236295041655574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19226928686191974"/>
                  <c:y val="0.1917935740554337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21389865165778124"/>
                  <c:y val="0.172808340045560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2051445630032564"/>
                  <c:y val="6.561711640006939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22731260106604426"/>
                  <c:y val="-5.447419488216419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0.24025631307959869"/>
                  <c:y val="-0.163810831437832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2.2604575974964913E-2"/>
                  <c:y val="-0.1595237551475082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ln>
                <a:solidFill>
                  <a:schemeClr val="accent1"/>
                </a:solidFill>
                <a:miter lim="800000"/>
              </a:ln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'2emePARTIE'!$A$243:$A$253</c:f>
              <c:strCache>
                <c:ptCount val="11"/>
                <c:pt idx="0">
                  <c:v>Médicaments</c:v>
                </c:pt>
                <c:pt idx="1">
                  <c:v>DMS</c:v>
                </c:pt>
                <c:pt idx="2">
                  <c:v>Restauration</c:v>
                </c:pt>
                <c:pt idx="3">
                  <c:v>Energie électrique</c:v>
                </c:pt>
                <c:pt idx="4">
                  <c:v>Informatique</c:v>
                </c:pt>
                <c:pt idx="5">
                  <c:v>Fournitures générales</c:v>
                </c:pt>
                <c:pt idx="6">
                  <c:v>Maintenance patrimoniale</c:v>
                </c:pt>
                <c:pt idx="7">
                  <c:v>Equipements non médicaux</c:v>
                </c:pt>
                <c:pt idx="8">
                  <c:v>Equipements biomédicaux</c:v>
                </c:pt>
                <c:pt idx="9">
                  <c:v>DMNS</c:v>
                </c:pt>
                <c:pt idx="10">
                  <c:v>Laboratoire de biologie</c:v>
                </c:pt>
              </c:strCache>
            </c:strRef>
          </c:cat>
          <c:val>
            <c:numRef>
              <c:f>'2emePARTIE'!$B$243:$B$253</c:f>
              <c:numCache>
                <c:formatCode>0.0%</c:formatCode>
                <c:ptCount val="11"/>
                <c:pt idx="0">
                  <c:v>0.68899999999999995</c:v>
                </c:pt>
                <c:pt idx="1">
                  <c:v>5.8999999999999997E-2</c:v>
                </c:pt>
                <c:pt idx="2">
                  <c:v>5.1999999999999998E-2</c:v>
                </c:pt>
                <c:pt idx="3">
                  <c:v>5.0999999999999997E-2</c:v>
                </c:pt>
                <c:pt idx="4">
                  <c:v>3.5000000000000003E-2</c:v>
                </c:pt>
                <c:pt idx="5">
                  <c:v>3.2000000000000001E-2</c:v>
                </c:pt>
                <c:pt idx="6">
                  <c:v>2.8000000000000001E-2</c:v>
                </c:pt>
                <c:pt idx="7">
                  <c:v>1.9E-2</c:v>
                </c:pt>
                <c:pt idx="8">
                  <c:v>1.4999999999999999E-2</c:v>
                </c:pt>
                <c:pt idx="9">
                  <c:v>1.2E-2</c:v>
                </c:pt>
                <c:pt idx="10">
                  <c:v>8.0000000000000002E-3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5.9485990647108203E-2"/>
          <c:y val="2.2194883653527016E-2"/>
        </c:manualLayout>
      </c:layout>
      <c:overlay val="0"/>
      <c:txPr>
        <a:bodyPr/>
        <a:lstStyle/>
        <a:p>
          <a:pPr algn="l">
            <a:defRPr sz="1200"/>
          </a:pPr>
          <a:endParaRPr lang="fr-FR"/>
        </a:p>
      </c:txPr>
    </c:title>
    <c:autoTitleDeleted val="0"/>
    <c:view3D>
      <c:rotX val="50"/>
      <c:hPercent val="100"/>
      <c:rotY val="310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7006936049404277"/>
          <c:y val="0.20195146997181135"/>
          <c:w val="0.61911800365055891"/>
          <c:h val="0.76672660721436947"/>
        </c:manualLayout>
      </c:layout>
      <c:pie3DChart>
        <c:varyColors val="1"/>
        <c:ser>
          <c:idx val="0"/>
          <c:order val="0"/>
          <c:tx>
            <c:strRef>
              <c:f>'2emePARTIE'!$A$256</c:f>
              <c:strCache>
                <c:ptCount val="1"/>
                <c:pt idx="0">
                  <c:v>Taux de recours global aux opérateurs régionaux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explosion val="4"/>
          <c:dPt>
            <c:idx val="0"/>
            <c:bubble3D val="0"/>
            <c:explosion val="0"/>
            <c:spPr>
              <a:solidFill>
                <a:schemeClr val="accent3">
                  <a:lumMod val="60000"/>
                  <a:lumOff val="40000"/>
                </a:schemeClr>
              </a:solidFill>
              <a:ln w="12700">
                <a:solidFill>
                  <a:schemeClr val="tx1"/>
                </a:solidFill>
              </a:ln>
            </c:spPr>
          </c:dPt>
          <c:dPt>
            <c:idx val="1"/>
            <c:bubble3D val="0"/>
            <c:explosion val="0"/>
          </c:dPt>
          <c:dPt>
            <c:idx val="2"/>
            <c:bubble3D val="0"/>
            <c:explosion val="0"/>
          </c:dPt>
          <c:dPt>
            <c:idx val="3"/>
            <c:bubble3D val="0"/>
            <c:explosion val="0"/>
          </c:dPt>
          <c:dPt>
            <c:idx val="4"/>
            <c:bubble3D val="0"/>
            <c:explosion val="0"/>
          </c:dPt>
          <c:dPt>
            <c:idx val="5"/>
            <c:bubble3D val="0"/>
            <c:explosion val="0"/>
          </c:dPt>
          <c:dPt>
            <c:idx val="6"/>
            <c:bubble3D val="0"/>
            <c:explosion val="0"/>
          </c:dPt>
          <c:dLbls>
            <c:dLbl>
              <c:idx val="0"/>
              <c:layout>
                <c:manualLayout>
                  <c:x val="-0.1194036539027345"/>
                  <c:y val="-3.982020952182090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2183274045059058E-2"/>
                  <c:y val="6.327766238096944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4947146835072012"/>
                  <c:y val="0.2524487843340132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7042327830848555"/>
                  <c:y val="0.1879132274868445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9177931438773199"/>
                  <c:y val="0.1382717800005298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20026726354637142"/>
                  <c:y val="5.436760904219264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23706063391822216"/>
                  <c:y val="-5.993054895465035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ln>
                <a:solidFill>
                  <a:schemeClr val="accent1"/>
                </a:solidFill>
              </a:ln>
            </c:spPr>
            <c:txPr>
              <a:bodyPr anchor="t" anchorCtr="0"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'2emePARTIE'!$A$258:$A$264</c:f>
              <c:strCache>
                <c:ptCount val="7"/>
                <c:pt idx="0">
                  <c:v>Médicaments</c:v>
                </c:pt>
                <c:pt idx="1">
                  <c:v>Dispositifs médicaux</c:v>
                </c:pt>
                <c:pt idx="2">
                  <c:v>Incontinence</c:v>
                </c:pt>
                <c:pt idx="3">
                  <c:v>DAOM</c:v>
                </c:pt>
                <c:pt idx="4">
                  <c:v>DASRI</c:v>
                </c:pt>
                <c:pt idx="5">
                  <c:v>Alimentation</c:v>
                </c:pt>
                <c:pt idx="6">
                  <c:v>Linge</c:v>
                </c:pt>
              </c:strCache>
            </c:strRef>
          </c:cat>
          <c:val>
            <c:numRef>
              <c:f>'2emePARTIE'!$B$258:$B$264</c:f>
              <c:numCache>
                <c:formatCode>0.0%</c:formatCode>
                <c:ptCount val="7"/>
                <c:pt idx="0">
                  <c:v>0.70899999999999996</c:v>
                </c:pt>
                <c:pt idx="1">
                  <c:v>0.17299999999999999</c:v>
                </c:pt>
                <c:pt idx="2">
                  <c:v>3.6999999999999998E-2</c:v>
                </c:pt>
                <c:pt idx="3">
                  <c:v>2.8000000000000001E-2</c:v>
                </c:pt>
                <c:pt idx="4">
                  <c:v>2.1999999999999999E-2</c:v>
                </c:pt>
                <c:pt idx="5">
                  <c:v>1.7999999999999999E-2</c:v>
                </c:pt>
                <c:pt idx="6">
                  <c:v>1.2999999999999999E-2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200"/>
              <a:t>Achats cumul tout GHT</a:t>
            </a:r>
          </a:p>
        </c:rich>
      </c:tx>
      <c:layout>
        <c:manualLayout>
          <c:xMode val="edge"/>
          <c:yMode val="edge"/>
          <c:x val="0.12147319205678068"/>
          <c:y val="4.347842306513716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50763349115123"/>
          <c:y val="0.19576607611548558"/>
          <c:w val="0.55285555022463884"/>
          <c:h val="0.690749671916010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'2emePARTIE'!$A$278</c:f>
              <c:strCache>
                <c:ptCount val="1"/>
                <c:pt idx="0">
                  <c:v>Investissement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'2emePARTIE'!$B$277:$D$277</c:f>
              <c:numCache>
                <c:formatCode>General</c:formatCod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numCache>
            </c:numRef>
          </c:cat>
          <c:val>
            <c:numRef>
              <c:f>'2emePARTIE'!$B$278:$D$278</c:f>
              <c:numCache>
                <c:formatCode>_-* #,##0\ _€_-;\-* #,##0\ _€_-;_-* "-"??\ _€_-;_-@_-</c:formatCode>
                <c:ptCount val="3"/>
                <c:pt idx="0">
                  <c:v>123000</c:v>
                </c:pt>
                <c:pt idx="1">
                  <c:v>134000</c:v>
                </c:pt>
                <c:pt idx="2">
                  <c:v>125000</c:v>
                </c:pt>
              </c:numCache>
            </c:numRef>
          </c:val>
        </c:ser>
        <c:ser>
          <c:idx val="1"/>
          <c:order val="1"/>
          <c:tx>
            <c:strRef>
              <c:f>'2emePARTIE'!$A$279</c:f>
              <c:strCache>
                <c:ptCount val="1"/>
                <c:pt idx="0">
                  <c:v>Exploitation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'2emePARTIE'!$B$277:$D$277</c:f>
              <c:numCache>
                <c:formatCode>General</c:formatCod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numCache>
            </c:numRef>
          </c:cat>
          <c:val>
            <c:numRef>
              <c:f>'2emePARTIE'!$B$279:$D$279</c:f>
              <c:numCache>
                <c:formatCode>_-* #,##0\ _€_-;\-* #,##0\ _€_-;_-* "-"??\ _€_-;_-@_-</c:formatCode>
                <c:ptCount val="3"/>
                <c:pt idx="0">
                  <c:v>276000</c:v>
                </c:pt>
                <c:pt idx="1">
                  <c:v>281000</c:v>
                </c:pt>
                <c:pt idx="2">
                  <c:v>289980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399552"/>
        <c:axId val="141401088"/>
      </c:barChart>
      <c:catAx>
        <c:axId val="14139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1401088"/>
        <c:crosses val="autoZero"/>
        <c:auto val="1"/>
        <c:lblAlgn val="ctr"/>
        <c:lblOffset val="100"/>
        <c:noMultiLvlLbl val="0"/>
      </c:catAx>
      <c:valAx>
        <c:axId val="141401088"/>
        <c:scaling>
          <c:orientation val="minMax"/>
          <c:min val="100000"/>
        </c:scaling>
        <c:delete val="0"/>
        <c:axPos val="l"/>
        <c:majorGridlines>
          <c:spPr>
            <a:ln w="3175"/>
          </c:spPr>
        </c:majorGridlines>
        <c:numFmt formatCode="#,##0_)\K&quot;€&quot;;[Red]\(#,##0\)\K&quot;€&quot;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1399552"/>
        <c:crosses val="autoZero"/>
        <c:crossBetween val="between"/>
        <c:dispUnits>
          <c:builtInUnit val="thousands"/>
        </c:dispUnits>
      </c:valAx>
    </c:plotArea>
    <c:legend>
      <c:legendPos val="r"/>
      <c:layout>
        <c:manualLayout>
          <c:xMode val="edge"/>
          <c:yMode val="edge"/>
          <c:x val="0.70818761515055506"/>
          <c:y val="0.51745789588801405"/>
          <c:w val="0.27766159455148492"/>
          <c:h val="0.19700951443569556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>
                <a:solidFill>
                  <a:sysClr val="windowText" lastClr="000000"/>
                </a:solidFill>
              </a:rPr>
              <a:t>Montants d'exploitation cumul annuel 2016</a:t>
            </a:r>
            <a:endParaRPr lang="fr-FR" sz="1200"/>
          </a:p>
        </c:rich>
      </c:tx>
      <c:layout>
        <c:manualLayout>
          <c:xMode val="edge"/>
          <c:yMode val="edge"/>
          <c:x val="5.0085967680082825E-2"/>
          <c:y val="3.0915122879883534E-2"/>
        </c:manualLayout>
      </c:layout>
      <c:overlay val="0"/>
    </c:title>
    <c:autoTitleDeleted val="0"/>
    <c:view3D>
      <c:rotX val="40"/>
      <c:rotY val="203"/>
      <c:rAngAx val="0"/>
      <c:perspective val="5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1978834030530488E-3"/>
          <c:y val="0.18370174025276542"/>
          <c:w val="0.6451293743772728"/>
          <c:h val="0.65218937796709842"/>
        </c:manualLayout>
      </c:layout>
      <c:pie3DChart>
        <c:varyColors val="1"/>
        <c:ser>
          <c:idx val="1"/>
          <c:order val="0"/>
          <c:tx>
            <c:strRef>
              <c:f>'2emePARTIE'!$A$286:$A$291</c:f>
              <c:strCache>
                <c:ptCount val="1"/>
                <c:pt idx="0">
                  <c:v>Etablissement support Etablissement membre1 Etablissement membre2 Etablissement membre3 Etablissement membre4 Etablissement membre5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explosion val="1"/>
          <c:dPt>
            <c:idx val="0"/>
            <c:bubble3D val="0"/>
            <c:explosion val="0"/>
            <c:spPr>
              <a:solidFill>
                <a:schemeClr val="accent3">
                  <a:lumMod val="60000"/>
                  <a:lumOff val="40000"/>
                </a:schemeClr>
              </a:solidFill>
              <a:ln w="22225">
                <a:solidFill>
                  <a:schemeClr val="tx1"/>
                </a:solidFill>
              </a:ln>
            </c:spPr>
          </c:dPt>
          <c:dLbls>
            <c:dLbl>
              <c:idx val="1"/>
              <c:layout>
                <c:manualLayout>
                  <c:x val="0.29847554439948171"/>
                  <c:y val="7.99459473506405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77422345287267"/>
                  <c:y val="7.027283401869835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0956365551797688E-2"/>
                  <c:y val="4.015931649042602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2365175293129231"/>
                  <c:y val="1.717708108606614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41306274308916308"/>
                  <c:y val="9.8877011424214328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ln>
                <a:solidFill>
                  <a:schemeClr val="accent1"/>
                </a:solidFill>
                <a:miter lim="800000"/>
              </a:ln>
            </c:spPr>
            <c:txPr>
              <a:bodyPr anchor="t" anchorCtr="1"/>
              <a:lstStyle/>
              <a:p>
                <a:pPr>
                  <a:defRPr sz="800"/>
                </a:pPr>
                <a:endParaRPr lang="fr-FR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'2emePARTIE'!$A$286:$A$291</c:f>
              <c:strCache>
                <c:ptCount val="6"/>
                <c:pt idx="0">
                  <c:v>Etablissement support</c:v>
                </c:pt>
                <c:pt idx="1">
                  <c:v>Etablissement membre1</c:v>
                </c:pt>
                <c:pt idx="2">
                  <c:v>Etablissement membre2</c:v>
                </c:pt>
                <c:pt idx="3">
                  <c:v>Etablissement membre3</c:v>
                </c:pt>
                <c:pt idx="4">
                  <c:v>Etablissement membre4</c:v>
                </c:pt>
                <c:pt idx="5">
                  <c:v>Etablissement membre5</c:v>
                </c:pt>
              </c:strCache>
            </c:strRef>
          </c:cat>
          <c:val>
            <c:numRef>
              <c:f>'2emePARTIE'!$B$286:$B$291</c:f>
              <c:numCache>
                <c:formatCode>0%</c:formatCode>
                <c:ptCount val="6"/>
                <c:pt idx="0">
                  <c:v>0.36</c:v>
                </c:pt>
                <c:pt idx="1">
                  <c:v>0.25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0.15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fr-FR"/>
              <a:t>Taux de mise en concurrence et de contentieux</a:t>
            </a:r>
          </a:p>
        </c:rich>
      </c:tx>
      <c:layout>
        <c:manualLayout>
          <c:xMode val="edge"/>
          <c:yMode val="edge"/>
          <c:x val="5.9485990647108203E-2"/>
          <c:y val="2.2194883653527016E-2"/>
        </c:manualLayout>
      </c:layout>
      <c:overlay val="0"/>
    </c:title>
    <c:autoTitleDeleted val="0"/>
    <c:view3D>
      <c:rotX val="50"/>
      <c:hPercent val="100"/>
      <c:rotY val="310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40792847873821392"/>
          <c:y val="0.17110929133858271"/>
          <c:w val="0.54861979633023716"/>
          <c:h val="0.68262025377602076"/>
        </c:manualLayout>
      </c:layout>
      <c:pie3DChart>
        <c:varyColors val="1"/>
        <c:ser>
          <c:idx val="0"/>
          <c:order val="0"/>
          <c:tx>
            <c:strRef>
              <c:f>'2emePARTIE'!$A$300</c:f>
              <c:strCache>
                <c:ptCount val="1"/>
                <c:pt idx="0">
                  <c:v>Taux de mise en concurrence et de contentieux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explosion val="4"/>
          <c:dPt>
            <c:idx val="0"/>
            <c:bubble3D val="0"/>
            <c:explosion val="0"/>
            <c:spPr>
              <a:solidFill>
                <a:schemeClr val="accent3">
                  <a:lumMod val="60000"/>
                  <a:lumOff val="40000"/>
                </a:schemeClr>
              </a:solidFill>
              <a:ln w="12700">
                <a:solidFill>
                  <a:schemeClr val="tx1"/>
                </a:solidFill>
              </a:ln>
            </c:spPr>
          </c:dPt>
          <c:dPt>
            <c:idx val="1"/>
            <c:bubble3D val="0"/>
            <c:explosion val="23"/>
          </c:dPt>
          <c:dPt>
            <c:idx val="2"/>
            <c:bubble3D val="0"/>
            <c:explosion val="17"/>
          </c:dPt>
          <c:dPt>
            <c:idx val="3"/>
            <c:bubble3D val="0"/>
            <c:explosion val="0"/>
          </c:dPt>
          <c:dPt>
            <c:idx val="4"/>
            <c:bubble3D val="0"/>
            <c:explosion val="0"/>
          </c:dPt>
          <c:dPt>
            <c:idx val="5"/>
            <c:bubble3D val="0"/>
            <c:explosion val="0"/>
          </c:dPt>
          <c:dPt>
            <c:idx val="6"/>
            <c:bubble3D val="0"/>
            <c:explosion val="0"/>
          </c:dPt>
          <c:dLbls>
            <c:dLbl>
              <c:idx val="0"/>
              <c:layout>
                <c:manualLayout>
                  <c:x val="-3.9710149264826092E-2"/>
                  <c:y val="-7.939966996339678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8704072550041251"/>
                  <c:y val="1.1989341027028109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3613321960521736E-3"/>
                  <c:y val="0.1911486445873655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26544236653509917"/>
                  <c:y val="0.3165464739219661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27147271764508829"/>
                  <c:y val="0.3361690822084092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25850478378249225"/>
                  <c:y val="0.24731747869487508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2646468795720589"/>
                  <c:y val="0.1330189311364136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26269339914765116"/>
                  <c:y val="1.132221888064922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5.9261123905300368E-2"/>
                  <c:y val="-7.665248142959764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ln>
                <a:solidFill>
                  <a:schemeClr val="accent1"/>
                </a:solidFill>
              </a:ln>
            </c:spPr>
            <c:txPr>
              <a:bodyPr anchor="t" anchorCtr="0"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'2emePARTIE'!$A$301:$A$309</c:f>
              <c:strCache>
                <c:ptCount val="9"/>
                <c:pt idx="0">
                  <c:v>Appel d'offres ouvert</c:v>
                </c:pt>
                <c:pt idx="1">
                  <c:v>Marché négo sans M.C.P.</c:v>
                </c:pt>
                <c:pt idx="2">
                  <c:v>Hors marché</c:v>
                </c:pt>
                <c:pt idx="3">
                  <c:v>Procédures adaptées</c:v>
                </c:pt>
                <c:pt idx="4">
                  <c:v>Appel d'offres restreint</c:v>
                </c:pt>
                <c:pt idx="5">
                  <c:v>Marché négo après M.C.P.</c:v>
                </c:pt>
                <c:pt idx="6">
                  <c:v>Appel d'offres sur concours</c:v>
                </c:pt>
                <c:pt idx="7">
                  <c:v>Appel d'offres sur perform.</c:v>
                </c:pt>
                <c:pt idx="8">
                  <c:v>Adjudication restreinte</c:v>
                </c:pt>
              </c:strCache>
            </c:strRef>
          </c:cat>
          <c:val>
            <c:numRef>
              <c:f>'2emePARTIE'!$B$301:$B$309</c:f>
              <c:numCache>
                <c:formatCode>0%</c:formatCode>
                <c:ptCount val="9"/>
                <c:pt idx="0">
                  <c:v>0.53</c:v>
                </c:pt>
                <c:pt idx="1">
                  <c:v>0.22</c:v>
                </c:pt>
                <c:pt idx="2">
                  <c:v>0.11</c:v>
                </c:pt>
                <c:pt idx="3">
                  <c:v>0.06</c:v>
                </c:pt>
                <c:pt idx="4">
                  <c:v>0.04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Top 10 des CA founisseurs : produits de santé</a:t>
            </a:r>
          </a:p>
        </c:rich>
      </c:tx>
      <c:layout>
        <c:manualLayout>
          <c:xMode val="edge"/>
          <c:yMode val="edge"/>
          <c:x val="2.1948355747212173E-2"/>
          <c:y val="2.1741479448655468E-2"/>
        </c:manualLayout>
      </c:layout>
      <c:overlay val="0"/>
    </c:title>
    <c:autoTitleDeleted val="0"/>
    <c:view3D>
      <c:rotX val="50"/>
      <c:hPercent val="80"/>
      <c:rotY val="320"/>
      <c:depthPercent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7775310137514861E-2"/>
          <c:y val="0.34507010736594229"/>
          <c:w val="0.52790631940238242"/>
          <c:h val="0.5739776363570992"/>
        </c:manualLayout>
      </c:layout>
      <c:pie3DChart>
        <c:varyColors val="1"/>
        <c:ser>
          <c:idx val="0"/>
          <c:order val="0"/>
          <c:tx>
            <c:strRef>
              <c:f>'2emePARTIE'!$A$316</c:f>
              <c:strCache>
                <c:ptCount val="1"/>
                <c:pt idx="0">
                  <c:v>Produits de santé</c:v>
                </c:pt>
              </c:strCache>
            </c:strRef>
          </c:tx>
          <c:spPr>
            <a:ln w="22225">
              <a:solidFill>
                <a:schemeClr val="accent1">
                  <a:lumMod val="50000"/>
                </a:schemeClr>
              </a:solidFill>
            </a:ln>
          </c:spPr>
          <c:explosion val="2"/>
          <c:dPt>
            <c:idx val="10"/>
            <c:bubble3D val="0"/>
            <c:explosion val="0"/>
          </c:dPt>
          <c:dPt>
            <c:idx val="11"/>
            <c:bubble3D val="0"/>
            <c:explosion val="0"/>
          </c:dPt>
          <c:dLbls>
            <c:dLbl>
              <c:idx val="0"/>
              <c:layout>
                <c:manualLayout>
                  <c:x val="-4.1376263610613029E-2"/>
                  <c:y val="-8.410550079841418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2910007536186688E-3"/>
                  <c:y val="-5.589853715837967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4.2012941451625482E-3"/>
                  <c:y val="-0.1072510691408329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3511135365505053"/>
                  <c:y val="-0.1446620046620046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0.13672981471375484"/>
                  <c:y val="-5.007984141842409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0.14161326368857358"/>
                  <c:y val="-2.810124258943156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.11459187651048569"/>
                  <c:y val="4.2090193271295635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0.12693485096541149"/>
                  <c:y val="3.468531468531468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0.11607962371040254"/>
                  <c:y val="4.718682891911238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0.12145110574049531"/>
                  <c:y val="0.12590349283262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numFmt formatCode="General" sourceLinked="0"/>
            <c:spPr>
              <a:ln w="6350">
                <a:noFill/>
              </a:ln>
            </c:spPr>
            <c:txPr>
              <a:bodyPr/>
              <a:lstStyle/>
              <a:p>
                <a:pPr>
                  <a:defRPr sz="700"/>
                </a:pPr>
                <a:endParaRPr lang="fr-FR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'2emePARTIE'!$A$317:$A$328</c:f>
              <c:strCache>
                <c:ptCount val="12"/>
                <c:pt idx="0">
                  <c:v>EPS Pyrénées Méditerrannée</c:v>
                </c:pt>
                <c:pt idx="1">
                  <c:v>LFB Biomédicaments</c:v>
                </c:pt>
                <c:pt idx="2">
                  <c:v>Roche Pharma</c:v>
                </c:pt>
                <c:pt idx="3">
                  <c:v>MSD France</c:v>
                </c:pt>
                <c:pt idx="4">
                  <c:v>Medtronics France SAS</c:v>
                </c:pt>
                <c:pt idx="5">
                  <c:v>Baxter S.A.</c:v>
                </c:pt>
                <c:pt idx="6">
                  <c:v>Celgene</c:v>
                </c:pt>
                <c:pt idx="7">
                  <c:v>Pfizer SAS</c:v>
                </c:pt>
                <c:pt idx="8">
                  <c:v>Covidien France SAS</c:v>
                </c:pt>
                <c:pt idx="9">
                  <c:v>Alexion Pharma France SAS</c:v>
                </c:pt>
                <c:pt idx="10">
                  <c:v>Top 11-20</c:v>
                </c:pt>
                <c:pt idx="11">
                  <c:v>Autres</c:v>
                </c:pt>
              </c:strCache>
            </c:strRef>
          </c:cat>
          <c:val>
            <c:numRef>
              <c:f>'2emePARTIE'!$C$317:$C$328</c:f>
              <c:numCache>
                <c:formatCode>#,##0.00,," M€"</c:formatCode>
                <c:ptCount val="12"/>
                <c:pt idx="0">
                  <c:v>13400000</c:v>
                </c:pt>
                <c:pt idx="1">
                  <c:v>10560000</c:v>
                </c:pt>
                <c:pt idx="2">
                  <c:v>8950000</c:v>
                </c:pt>
                <c:pt idx="3">
                  <c:v>8890000</c:v>
                </c:pt>
                <c:pt idx="4">
                  <c:v>7080000</c:v>
                </c:pt>
                <c:pt idx="5">
                  <c:v>5760000</c:v>
                </c:pt>
                <c:pt idx="6">
                  <c:v>5150000</c:v>
                </c:pt>
                <c:pt idx="7">
                  <c:v>4370000</c:v>
                </c:pt>
                <c:pt idx="8">
                  <c:v>3720000</c:v>
                </c:pt>
                <c:pt idx="9">
                  <c:v>3440000</c:v>
                </c:pt>
                <c:pt idx="10">
                  <c:v>26660000</c:v>
                </c:pt>
                <c:pt idx="11">
                  <c:v>83440000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 algn="l" rtl="0">
              <a:defRPr lang="fr-FR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Top 10 des CA founisseurs : travaux et </a:t>
            </a:r>
          </a:p>
          <a:p>
            <a:pPr algn="l" rtl="0">
              <a:defRPr lang="fr-FR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prestation patrimoniale</a:t>
            </a:r>
          </a:p>
        </c:rich>
      </c:tx>
      <c:layout>
        <c:manualLayout>
          <c:xMode val="edge"/>
          <c:yMode val="edge"/>
          <c:x val="1.8782307383990792E-2"/>
          <c:y val="6.3927396399393755E-3"/>
        </c:manualLayout>
      </c:layout>
      <c:overlay val="0"/>
    </c:title>
    <c:autoTitleDeleted val="0"/>
    <c:view3D>
      <c:rotX val="50"/>
      <c:hPercent val="80"/>
      <c:rotY val="310"/>
      <c:depthPercent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3039606004305641E-3"/>
          <c:y val="0.28086773498360629"/>
          <c:w val="0.52790631940238242"/>
          <c:h val="0.5739776363570992"/>
        </c:manualLayout>
      </c:layout>
      <c:pie3DChart>
        <c:varyColors val="1"/>
        <c:ser>
          <c:idx val="0"/>
          <c:order val="0"/>
          <c:tx>
            <c:strRef>
              <c:f>'2emePARTIE'!$A$331</c:f>
              <c:strCache>
                <c:ptCount val="1"/>
                <c:pt idx="0">
                  <c:v>Travaux et prestation patrimoniale</c:v>
                </c:pt>
              </c:strCache>
            </c:strRef>
          </c:tx>
          <c:spPr>
            <a:ln>
              <a:solidFill>
                <a:schemeClr val="bg2">
                  <a:lumMod val="10000"/>
                </a:schemeClr>
              </a:solidFill>
            </a:ln>
          </c:spPr>
          <c:dPt>
            <c:idx val="0"/>
            <c:bubble3D val="0"/>
            <c:explosion val="1"/>
          </c:dPt>
          <c:dPt>
            <c:idx val="10"/>
            <c:bubble3D val="0"/>
          </c:dPt>
          <c:dPt>
            <c:idx val="11"/>
            <c:bubble3D val="0"/>
          </c:dPt>
          <c:dLbls>
            <c:dLbl>
              <c:idx val="1"/>
              <c:layout>
                <c:manualLayout>
                  <c:x val="4.4090713379928634E-2"/>
                  <c:y val="-6.277208959103752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0.15209649355628299"/>
                  <c:y val="-0.2555192741482394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0.2767017053902745"/>
                  <c:y val="-0.3828804850097963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0.19475272487490788"/>
                  <c:y val="-0.2910317548334626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0.39143503613772429"/>
                  <c:y val="-0.2433961775904772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0.39852499336459335"/>
                  <c:y val="-0.1249068786529479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0.42043091804535671"/>
                  <c:y val="1.364426890728115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0.29801055766905543"/>
                  <c:y val="3.913662549369827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9"/>
              <c:layout>
                <c:manualLayout>
                  <c:x val="7.6181544722640007E-2"/>
                  <c:y val="2.839777615657467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General" sourceLinked="0"/>
            <c:spPr>
              <a:ln>
                <a:noFill/>
              </a:ln>
            </c:spPr>
            <c:txPr>
              <a:bodyPr/>
              <a:lstStyle/>
              <a:p>
                <a:pPr>
                  <a:defRPr sz="700"/>
                </a:pPr>
                <a:endParaRPr lang="fr-FR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'2emePARTIE'!$A$332:$A$343</c:f>
              <c:strCache>
                <c:ptCount val="12"/>
                <c:pt idx="0">
                  <c:v>Dalkia S.A.</c:v>
                </c:pt>
                <c:pt idx="1">
                  <c:v>Purpan Energies Santé</c:v>
                </c:pt>
                <c:pt idx="2">
                  <c:v>Veolia Eau</c:v>
                </c:pt>
                <c:pt idx="3">
                  <c:v>UGAP (Agent CPT)</c:v>
                </c:pt>
                <c:pt idx="4">
                  <c:v>Electricité Industrielle JP Fauche</c:v>
                </c:pt>
                <c:pt idx="5">
                  <c:v>Otis</c:v>
                </c:pt>
                <c:pt idx="6">
                  <c:v>Siemens SAS</c:v>
                </c:pt>
                <c:pt idx="7">
                  <c:v>Air Liquide Santé France</c:v>
                </c:pt>
                <c:pt idx="8">
                  <c:v>Eneriance</c:v>
                </c:pt>
                <c:pt idx="9">
                  <c:v>Spie Sud Ouest</c:v>
                </c:pt>
                <c:pt idx="10">
                  <c:v>Top 11-20</c:v>
                </c:pt>
                <c:pt idx="11">
                  <c:v>Autres</c:v>
                </c:pt>
              </c:strCache>
            </c:strRef>
          </c:cat>
          <c:val>
            <c:numRef>
              <c:f>'2emePARTIE'!$C$332:$C$343</c:f>
              <c:numCache>
                <c:formatCode>#,##0.00,," M€"</c:formatCode>
                <c:ptCount val="12"/>
                <c:pt idx="0">
                  <c:v>3840000</c:v>
                </c:pt>
                <c:pt idx="1">
                  <c:v>2200000</c:v>
                </c:pt>
                <c:pt idx="2">
                  <c:v>1590000</c:v>
                </c:pt>
                <c:pt idx="3">
                  <c:v>870000</c:v>
                </c:pt>
                <c:pt idx="4">
                  <c:v>840000</c:v>
                </c:pt>
                <c:pt idx="5">
                  <c:v>810000</c:v>
                </c:pt>
                <c:pt idx="6">
                  <c:v>740000</c:v>
                </c:pt>
                <c:pt idx="7">
                  <c:v>450000</c:v>
                </c:pt>
                <c:pt idx="8">
                  <c:v>390000</c:v>
                </c:pt>
                <c:pt idx="9">
                  <c:v>380000</c:v>
                </c:pt>
                <c:pt idx="10">
                  <c:v>2770000</c:v>
                </c:pt>
                <c:pt idx="11">
                  <c:v>4970000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 algn="l" rtl="0">
              <a:defRPr lang="fr-FR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Top 10 des CA founisseurs : moyens généraux</a:t>
            </a:r>
          </a:p>
        </c:rich>
      </c:tx>
      <c:layout>
        <c:manualLayout>
          <c:xMode val="edge"/>
          <c:yMode val="edge"/>
          <c:x val="3.1918596382348764E-2"/>
          <c:y val="3.4561753724446413E-2"/>
        </c:manualLayout>
      </c:layout>
      <c:overlay val="0"/>
    </c:title>
    <c:autoTitleDeleted val="0"/>
    <c:view3D>
      <c:rotX val="50"/>
      <c:hPercent val="80"/>
      <c:rotY val="320"/>
      <c:depthPercent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4292566877416186E-2"/>
          <c:y val="0.35129015563195448"/>
          <c:w val="0.52790631940238242"/>
          <c:h val="0.5739776363570992"/>
        </c:manualLayout>
      </c:layout>
      <c:pie3DChart>
        <c:varyColors val="1"/>
        <c:ser>
          <c:idx val="0"/>
          <c:order val="0"/>
          <c:tx>
            <c:strRef>
              <c:f>'2emePARTIE'!$A$345</c:f>
              <c:strCache>
                <c:ptCount val="1"/>
                <c:pt idx="0">
                  <c:v>Moyens généraux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dPt>
            <c:idx val="0"/>
            <c:bubble3D val="0"/>
            <c:explosion val="1"/>
          </c:dPt>
          <c:dPt>
            <c:idx val="10"/>
            <c:bubble3D val="0"/>
          </c:dPt>
          <c:dPt>
            <c:idx val="11"/>
            <c:bubble3D val="0"/>
          </c:dPt>
          <c:dLbls>
            <c:dLbl>
              <c:idx val="0"/>
              <c:layout>
                <c:manualLayout>
                  <c:x val="-4.5142546836817808E-2"/>
                  <c:y val="-9.61860929355661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0.15623805644984032"/>
                  <c:y val="-4.399319803334442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0.10077705804015877"/>
                  <c:y val="-0.1663173265313666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4.024850341983114E-2"/>
                  <c:y val="-0.312457949798528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0.17512198906171211"/>
                  <c:y val="-0.455547202941095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0.31261730214757638"/>
                  <c:y val="-0.4127048753052209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0.30624646057173888"/>
                  <c:y val="-0.2759270944790437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0.39415823022122237"/>
                  <c:y val="-0.1985071378272838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0.36068163893306437"/>
                  <c:y val="-9.98677604323849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9"/>
              <c:layout>
                <c:manualLayout>
                  <c:x val="0.18127173758452608"/>
                  <c:y val="-1.027298416966171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0"/>
              <c:layout>
                <c:manualLayout>
                  <c:x val="-6.1698408388606595E-2"/>
                  <c:y val="-0.1353650305906883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General" sourceLinked="0"/>
            <c:spPr>
              <a:ln>
                <a:noFill/>
              </a:ln>
            </c:spPr>
            <c:txPr>
              <a:bodyPr/>
              <a:lstStyle/>
              <a:p>
                <a:pPr>
                  <a:defRPr sz="700"/>
                </a:pPr>
                <a:endParaRPr lang="fr-FR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'2emePARTIE'!$A$346:$A$357</c:f>
              <c:strCache>
                <c:ptCount val="12"/>
                <c:pt idx="0">
                  <c:v>Davigel S.A.</c:v>
                </c:pt>
                <c:pt idx="1">
                  <c:v>Elior Services Propreté et Santé</c:v>
                </c:pt>
                <c:pt idx="2">
                  <c:v>Ebrard Cabinet S.A.</c:v>
                </c:pt>
                <c:pt idx="3">
                  <c:v>Helicap S.A.</c:v>
                </c:pt>
                <c:pt idx="4">
                  <c:v>Veolia Propreté Midi-Pyrénées</c:v>
                </c:pt>
                <c:pt idx="5">
                  <c:v>Vectura SARL</c:v>
                </c:pt>
                <c:pt idx="6">
                  <c:v>SNC du Chapitre</c:v>
                </c:pt>
                <c:pt idx="7">
                  <c:v>La Poste</c:v>
                </c:pt>
                <c:pt idx="8">
                  <c:v>L'Appel Médical</c:v>
                </c:pt>
                <c:pt idx="9">
                  <c:v>Pro à Pro Distribution</c:v>
                </c:pt>
                <c:pt idx="10">
                  <c:v>Top 11-20</c:v>
                </c:pt>
                <c:pt idx="11">
                  <c:v>Autres</c:v>
                </c:pt>
              </c:strCache>
            </c:strRef>
          </c:cat>
          <c:val>
            <c:numRef>
              <c:f>'2emePARTIE'!$C$346:$C$357</c:f>
              <c:numCache>
                <c:formatCode>#,##0.00,," M€"</c:formatCode>
                <c:ptCount val="12"/>
                <c:pt idx="0">
                  <c:v>4139999.9999999995</c:v>
                </c:pt>
                <c:pt idx="1">
                  <c:v>4030000.0000000005</c:v>
                </c:pt>
                <c:pt idx="2">
                  <c:v>3550000</c:v>
                </c:pt>
                <c:pt idx="3">
                  <c:v>3290000</c:v>
                </c:pt>
                <c:pt idx="4">
                  <c:v>2130000</c:v>
                </c:pt>
                <c:pt idx="5">
                  <c:v>1480000</c:v>
                </c:pt>
                <c:pt idx="6">
                  <c:v>1190000</c:v>
                </c:pt>
                <c:pt idx="7">
                  <c:v>1130000</c:v>
                </c:pt>
                <c:pt idx="8">
                  <c:v>870000</c:v>
                </c:pt>
                <c:pt idx="9">
                  <c:v>830000</c:v>
                </c:pt>
                <c:pt idx="10">
                  <c:v>4820000</c:v>
                </c:pt>
                <c:pt idx="11">
                  <c:v>15610000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 algn="l" rtl="0">
              <a:defRPr lang="fr-FR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Top 10 des CA founisseurs : moyens généraux</a:t>
            </a:r>
          </a:p>
        </c:rich>
      </c:tx>
      <c:layout>
        <c:manualLayout>
          <c:xMode val="edge"/>
          <c:yMode val="edge"/>
          <c:x val="3.1918596382348764E-2"/>
          <c:y val="3.4561753724446413E-2"/>
        </c:manualLayout>
      </c:layout>
      <c:overlay val="0"/>
    </c:title>
    <c:autoTitleDeleted val="0"/>
    <c:view3D>
      <c:rotX val="50"/>
      <c:hPercent val="80"/>
      <c:rotY val="320"/>
      <c:depthPercent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4292566877416186E-2"/>
          <c:y val="0.40239348130264208"/>
          <c:w val="0.52790631940238242"/>
          <c:h val="0.5739776363570992"/>
        </c:manualLayout>
      </c:layout>
      <c:pie3DChart>
        <c:varyColors val="1"/>
        <c:ser>
          <c:idx val="1"/>
          <c:order val="0"/>
          <c:tx>
            <c:strRef>
              <c:f>'2emePARTIE'!$A$360</c:f>
              <c:strCache>
                <c:ptCount val="1"/>
                <c:pt idx="0">
                  <c:v>Informatique et biomédical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-1.7238017661585413E-2"/>
                  <c:y val="-0.1476660539383796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2.2684923005313992E-2"/>
                  <c:y val="-8.0047920839163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2.2492016084196372E-2"/>
                  <c:y val="-8.41555781137113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0.14102349275306103"/>
                  <c:y val="-0.1478767593075255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0.30161384999288882"/>
                  <c:y val="-0.1567797927698062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0.30335983864085952"/>
                  <c:y val="-8.763331412841687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0.25970469208590308"/>
                  <c:y val="-1.852707435960748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0.24456718772222438"/>
                  <c:y val="9.548684463222585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0.22518676544742253"/>
                  <c:y val="0.2324658198213028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9"/>
              <c:layout>
                <c:manualLayout>
                  <c:x val="1.8906946976455528E-2"/>
                  <c:y val="0.1510929426504613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spPr>
              <a:ln>
                <a:noFill/>
              </a:ln>
            </c:spPr>
            <c:txPr>
              <a:bodyPr/>
              <a:lstStyle/>
              <a:p>
                <a:pPr>
                  <a:defRPr sz="700"/>
                </a:pPr>
                <a:endParaRPr lang="fr-FR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'2emePARTIE'!$A$361:$A$372</c:f>
              <c:strCache>
                <c:ptCount val="12"/>
                <c:pt idx="0">
                  <c:v>MiPih</c:v>
                </c:pt>
                <c:pt idx="1">
                  <c:v>Roche Diagnostics S.A.</c:v>
                </c:pt>
                <c:pt idx="2">
                  <c:v>EFS Pyrénées Méditerrannée</c:v>
                </c:pt>
                <c:pt idx="3">
                  <c:v>SFR Business Team</c:v>
                </c:pt>
                <c:pt idx="4">
                  <c:v>Philips France SAS</c:v>
                </c:pt>
                <c:pt idx="5">
                  <c:v>SCC S.A.</c:v>
                </c:pt>
                <c:pt idx="6">
                  <c:v>Siemens SAS</c:v>
                </c:pt>
                <c:pt idx="7">
                  <c:v>Paris (TPG Ass. Publique)</c:v>
                </c:pt>
                <c:pt idx="8">
                  <c:v>Beckman Coulter France</c:v>
                </c:pt>
                <c:pt idx="9">
                  <c:v>GE Medical Systems SCS</c:v>
                </c:pt>
                <c:pt idx="10">
                  <c:v>Top 11-20</c:v>
                </c:pt>
                <c:pt idx="11">
                  <c:v>Autres</c:v>
                </c:pt>
              </c:strCache>
            </c:strRef>
          </c:cat>
          <c:val>
            <c:numRef>
              <c:f>'2emePARTIE'!$C$361:$C$372</c:f>
              <c:numCache>
                <c:formatCode>#,##0.00,," M€"</c:formatCode>
                <c:ptCount val="12"/>
                <c:pt idx="0">
                  <c:v>2510000</c:v>
                </c:pt>
                <c:pt idx="1">
                  <c:v>1890000</c:v>
                </c:pt>
                <c:pt idx="2">
                  <c:v>1690000</c:v>
                </c:pt>
                <c:pt idx="3">
                  <c:v>1340000</c:v>
                </c:pt>
                <c:pt idx="4">
                  <c:v>1280000</c:v>
                </c:pt>
                <c:pt idx="5">
                  <c:v>1220000</c:v>
                </c:pt>
                <c:pt idx="6">
                  <c:v>1000000</c:v>
                </c:pt>
                <c:pt idx="7">
                  <c:v>960000</c:v>
                </c:pt>
                <c:pt idx="8">
                  <c:v>860000</c:v>
                </c:pt>
                <c:pt idx="9">
                  <c:v>820000</c:v>
                </c:pt>
                <c:pt idx="10">
                  <c:v>5230000</c:v>
                </c:pt>
                <c:pt idx="11">
                  <c:v>16770000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Nombre de marchés par acheteur</a:t>
            </a:r>
          </a:p>
        </c:rich>
      </c:tx>
      <c:layout>
        <c:manualLayout>
          <c:xMode val="edge"/>
          <c:yMode val="edge"/>
          <c:x val="0.24931454620803978"/>
          <c:y val="3.22696931869995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961102355187986"/>
          <c:y val="0.16368431607434544"/>
          <c:w val="0.78441698630245715"/>
          <c:h val="0.500699433768276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'2emePARTIE'!$A$382</c:f>
              <c:strCache>
                <c:ptCount val="1"/>
                <c:pt idx="0">
                  <c:v>Etablissement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</c:spPr>
          <c:invertIfNegative val="0"/>
          <c:dPt>
            <c:idx val="4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 w="12700">
                <a:noFill/>
              </a:ln>
            </c:spPr>
          </c:dPt>
          <c:cat>
            <c:strRef>
              <c:f>'2emePARTIE'!$B$382:$I$382</c:f>
              <c:strCache>
                <c:ptCount val="8"/>
                <c:pt idx="0">
                  <c:v>Support</c:v>
                </c:pt>
                <c:pt idx="1">
                  <c:v>Membre1</c:v>
                </c:pt>
                <c:pt idx="2">
                  <c:v>Membre2</c:v>
                </c:pt>
                <c:pt idx="3">
                  <c:v>Membre3</c:v>
                </c:pt>
                <c:pt idx="4">
                  <c:v>Membre4</c:v>
                </c:pt>
                <c:pt idx="5">
                  <c:v>Membre5</c:v>
                </c:pt>
                <c:pt idx="6">
                  <c:v>Membre6</c:v>
                </c:pt>
                <c:pt idx="7">
                  <c:v>GHT</c:v>
                </c:pt>
              </c:strCache>
            </c:strRef>
          </c:cat>
          <c:val>
            <c:numRef>
              <c:f>'2emePARTIE'!$B$385:$I$385</c:f>
              <c:numCache>
                <c:formatCode>General</c:formatCode>
                <c:ptCount val="8"/>
                <c:pt idx="0">
                  <c:v>11</c:v>
                </c:pt>
                <c:pt idx="1">
                  <c:v>14</c:v>
                </c:pt>
                <c:pt idx="2">
                  <c:v>20</c:v>
                </c:pt>
                <c:pt idx="3">
                  <c:v>12</c:v>
                </c:pt>
                <c:pt idx="4">
                  <c:v>10</c:v>
                </c:pt>
                <c:pt idx="5">
                  <c:v>14</c:v>
                </c:pt>
                <c:pt idx="6">
                  <c:v>16</c:v>
                </c:pt>
                <c:pt idx="7" formatCode="0">
                  <c:v>12.983606557377049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overlap val="-100"/>
        <c:axId val="142863744"/>
        <c:axId val="142862208"/>
      </c:barChart>
      <c:barChart>
        <c:barDir val="col"/>
        <c:grouping val="clustered"/>
        <c:varyColors val="0"/>
        <c:ser>
          <c:idx val="1"/>
          <c:order val="1"/>
          <c:tx>
            <c:strRef>
              <c:f>'2emePARTIE'!$A$383</c:f>
              <c:strCache>
                <c:ptCount val="1"/>
                <c:pt idx="0">
                  <c:v>Nombre acheteurs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'2emePARTIE'!$B$382:$I$382</c:f>
              <c:strCache>
                <c:ptCount val="8"/>
                <c:pt idx="0">
                  <c:v>Support</c:v>
                </c:pt>
                <c:pt idx="1">
                  <c:v>Membre1</c:v>
                </c:pt>
                <c:pt idx="2">
                  <c:v>Membre2</c:v>
                </c:pt>
                <c:pt idx="3">
                  <c:v>Membre3</c:v>
                </c:pt>
                <c:pt idx="4">
                  <c:v>Membre4</c:v>
                </c:pt>
                <c:pt idx="5">
                  <c:v>Membre5</c:v>
                </c:pt>
                <c:pt idx="6">
                  <c:v>Membre6</c:v>
                </c:pt>
                <c:pt idx="7">
                  <c:v>GHT</c:v>
                </c:pt>
              </c:strCache>
            </c:strRef>
          </c:cat>
          <c:val>
            <c:numRef>
              <c:f>'2emePARTIE'!$B$383:$I$383</c:f>
              <c:numCache>
                <c:formatCode>General</c:formatCode>
                <c:ptCount val="8"/>
                <c:pt idx="0">
                  <c:v>30</c:v>
                </c:pt>
                <c:pt idx="1">
                  <c:v>20</c:v>
                </c:pt>
                <c:pt idx="2">
                  <c:v>15</c:v>
                </c:pt>
                <c:pt idx="3">
                  <c:v>18</c:v>
                </c:pt>
                <c:pt idx="4">
                  <c:v>25</c:v>
                </c:pt>
                <c:pt idx="5">
                  <c:v>8</c:v>
                </c:pt>
                <c:pt idx="6">
                  <c:v>6</c:v>
                </c:pt>
                <c:pt idx="7" formatCode="0">
                  <c:v>17.428571428571427</c:v>
                </c:pt>
              </c:numCache>
            </c:numRef>
          </c:val>
        </c:ser>
        <c:ser>
          <c:idx val="2"/>
          <c:order val="2"/>
          <c:tx>
            <c:strRef>
              <c:f>'2emePARTIE'!$A$384</c:f>
              <c:strCache>
                <c:ptCount val="1"/>
                <c:pt idx="0">
                  <c:v>Nombre de marchés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'2emePARTIE'!$B$382:$I$382</c:f>
              <c:strCache>
                <c:ptCount val="8"/>
                <c:pt idx="0">
                  <c:v>Support</c:v>
                </c:pt>
                <c:pt idx="1">
                  <c:v>Membre1</c:v>
                </c:pt>
                <c:pt idx="2">
                  <c:v>Membre2</c:v>
                </c:pt>
                <c:pt idx="3">
                  <c:v>Membre3</c:v>
                </c:pt>
                <c:pt idx="4">
                  <c:v>Membre4</c:v>
                </c:pt>
                <c:pt idx="5">
                  <c:v>Membre5</c:v>
                </c:pt>
                <c:pt idx="6">
                  <c:v>Membre6</c:v>
                </c:pt>
                <c:pt idx="7">
                  <c:v>GHT</c:v>
                </c:pt>
              </c:strCache>
            </c:strRef>
          </c:cat>
          <c:val>
            <c:numRef>
              <c:f>'2emePARTIE'!$B$384:$I$384</c:f>
              <c:numCache>
                <c:formatCode>General</c:formatCode>
                <c:ptCount val="8"/>
                <c:pt idx="0">
                  <c:v>330</c:v>
                </c:pt>
                <c:pt idx="1">
                  <c:v>280</c:v>
                </c:pt>
                <c:pt idx="2">
                  <c:v>300</c:v>
                </c:pt>
                <c:pt idx="3">
                  <c:v>216</c:v>
                </c:pt>
                <c:pt idx="4">
                  <c:v>250</c:v>
                </c:pt>
                <c:pt idx="5">
                  <c:v>112</c:v>
                </c:pt>
                <c:pt idx="6">
                  <c:v>96</c:v>
                </c:pt>
                <c:pt idx="7" formatCode="0">
                  <c:v>226.28571428571428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overlap val="-100"/>
        <c:axId val="142871168"/>
        <c:axId val="142869632"/>
      </c:barChart>
      <c:valAx>
        <c:axId val="14286220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42863744"/>
        <c:crosses val="max"/>
        <c:crossBetween val="between"/>
      </c:valAx>
      <c:catAx>
        <c:axId val="142863744"/>
        <c:scaling>
          <c:orientation val="minMax"/>
        </c:scaling>
        <c:delete val="1"/>
        <c:axPos val="b"/>
        <c:majorTickMark val="out"/>
        <c:minorTickMark val="none"/>
        <c:tickLblPos val="nextTo"/>
        <c:crossAx val="142862208"/>
        <c:crosses val="autoZero"/>
        <c:auto val="1"/>
        <c:lblAlgn val="ctr"/>
        <c:lblOffset val="100"/>
        <c:noMultiLvlLbl val="0"/>
      </c:catAx>
      <c:valAx>
        <c:axId val="142869632"/>
        <c:scaling>
          <c:orientation val="minMax"/>
          <c:max val="2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2871168"/>
        <c:crosses val="autoZero"/>
        <c:crossBetween val="between"/>
      </c:valAx>
      <c:catAx>
        <c:axId val="142871168"/>
        <c:scaling>
          <c:orientation val="minMax"/>
        </c:scaling>
        <c:delete val="1"/>
        <c:axPos val="b"/>
        <c:majorTickMark val="out"/>
        <c:minorTickMark val="none"/>
        <c:tickLblPos val="nextTo"/>
        <c:crossAx val="142869632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0"/>
        <c:spPr>
          <a:noFill/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/>
          <a:lstStyle/>
          <a:p>
            <a:pPr rtl="0">
              <a:defRPr sz="800"/>
            </a:pPr>
            <a:endParaRPr lang="fr-FR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en-US"/>
              <a:t>Ratio  achats/T2A</a:t>
            </a:r>
          </a:p>
        </c:rich>
      </c:tx>
      <c:layout>
        <c:manualLayout>
          <c:xMode val="edge"/>
          <c:yMode val="edge"/>
          <c:x val="0.17681639220708975"/>
          <c:y val="4.4575538646684877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Divers!$D$21</c:f>
              <c:strCache>
                <c:ptCount val="1"/>
                <c:pt idx="0">
                  <c:v>Poids relatif des achats
achats/T2A</c:v>
                </c:pt>
              </c:strCache>
            </c:strRef>
          </c:tx>
          <c:marker>
            <c:symbol val="diamond"/>
            <c:size val="5"/>
          </c:marker>
          <c:cat>
            <c:strRef>
              <c:f>Divers!$E$16:$J$16</c:f>
              <c:strCache>
                <c:ptCount val="6"/>
                <c:pt idx="0">
                  <c:v>S12015</c:v>
                </c:pt>
                <c:pt idx="1">
                  <c:v>S22015</c:v>
                </c:pt>
                <c:pt idx="2">
                  <c:v>S12016</c:v>
                </c:pt>
                <c:pt idx="3">
                  <c:v>S22016</c:v>
                </c:pt>
                <c:pt idx="4">
                  <c:v>S12017</c:v>
                </c:pt>
                <c:pt idx="5">
                  <c:v>S22017</c:v>
                </c:pt>
              </c:strCache>
            </c:strRef>
          </c:cat>
          <c:val>
            <c:numRef>
              <c:f>Divers!$E$21:$J$21</c:f>
              <c:numCache>
                <c:formatCode>0.00%</c:formatCode>
                <c:ptCount val="6"/>
                <c:pt idx="0">
                  <c:v>0.41320393163540953</c:v>
                </c:pt>
                <c:pt idx="1">
                  <c:v>0.41817963547514636</c:v>
                </c:pt>
                <c:pt idx="2">
                  <c:v>0.37881331076472935</c:v>
                </c:pt>
                <c:pt idx="3">
                  <c:v>0.53257567583420651</c:v>
                </c:pt>
                <c:pt idx="4">
                  <c:v>0.6943169387103294</c:v>
                </c:pt>
                <c:pt idx="5">
                  <c:v>0.24447414845070073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57344"/>
        <c:axId val="99259136"/>
      </c:lineChart>
      <c:catAx>
        <c:axId val="992573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259136"/>
        <c:crosses val="autoZero"/>
        <c:auto val="1"/>
        <c:lblAlgn val="ctr"/>
        <c:lblOffset val="100"/>
        <c:noMultiLvlLbl val="0"/>
      </c:catAx>
      <c:valAx>
        <c:axId val="99259136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25734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Volume d'achat par acheteur</a:t>
            </a:r>
          </a:p>
        </c:rich>
      </c:tx>
      <c:layout>
        <c:manualLayout>
          <c:xMode val="edge"/>
          <c:yMode val="edge"/>
          <c:x val="0.30000321034250882"/>
          <c:y val="3.22696706707282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961102355187986"/>
          <c:y val="0.12456974878209122"/>
          <c:w val="0.78441698630245715"/>
          <c:h val="0.501012753849756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'2emePARTIE'!$A$397</c:f>
              <c:strCache>
                <c:ptCount val="1"/>
                <c:pt idx="0">
                  <c:v>Moyenne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</c:spPr>
          <c:invertIfNegative val="0"/>
          <c:dPt>
            <c:idx val="4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 w="12700">
                <a:noFill/>
              </a:ln>
            </c:spPr>
          </c:dPt>
          <c:cat>
            <c:strRef>
              <c:f>'2emePARTIE'!$B$382:$I$382</c:f>
              <c:strCache>
                <c:ptCount val="8"/>
                <c:pt idx="0">
                  <c:v>Support</c:v>
                </c:pt>
                <c:pt idx="1">
                  <c:v>Membre1</c:v>
                </c:pt>
                <c:pt idx="2">
                  <c:v>Membre2</c:v>
                </c:pt>
                <c:pt idx="3">
                  <c:v>Membre3</c:v>
                </c:pt>
                <c:pt idx="4">
                  <c:v>Membre4</c:v>
                </c:pt>
                <c:pt idx="5">
                  <c:v>Membre5</c:v>
                </c:pt>
                <c:pt idx="6">
                  <c:v>Membre6</c:v>
                </c:pt>
                <c:pt idx="7">
                  <c:v>GHT</c:v>
                </c:pt>
              </c:strCache>
            </c:strRef>
          </c:cat>
          <c:val>
            <c:numRef>
              <c:f>'2emePARTIE'!$B$397:$I$397</c:f>
              <c:numCache>
                <c:formatCode>#,##0.00,," M€"</c:formatCode>
                <c:ptCount val="8"/>
                <c:pt idx="0">
                  <c:v>177227.3</c:v>
                </c:pt>
                <c:pt idx="1">
                  <c:v>251443.60000000003</c:v>
                </c:pt>
                <c:pt idx="2">
                  <c:v>447892</c:v>
                </c:pt>
                <c:pt idx="3">
                  <c:v>374300.66666666669</c:v>
                </c:pt>
                <c:pt idx="4">
                  <c:v>247660.68</c:v>
                </c:pt>
                <c:pt idx="5">
                  <c:v>748286.375</c:v>
                </c:pt>
                <c:pt idx="6">
                  <c:v>1003451.5</c:v>
                </c:pt>
                <c:pt idx="7">
                  <c:v>344262.29508196726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overlap val="-100"/>
        <c:axId val="142918400"/>
        <c:axId val="142908416"/>
      </c:barChart>
      <c:barChart>
        <c:barDir val="col"/>
        <c:grouping val="clustered"/>
        <c:varyColors val="0"/>
        <c:ser>
          <c:idx val="1"/>
          <c:order val="1"/>
          <c:tx>
            <c:strRef>
              <c:f>'2emePARTIE'!$A$395</c:f>
              <c:strCache>
                <c:ptCount val="1"/>
                <c:pt idx="0">
                  <c:v>Nombre acheteurs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'2emePARTIE'!$B$394:$I$394</c:f>
              <c:strCache>
                <c:ptCount val="8"/>
                <c:pt idx="0">
                  <c:v>Support</c:v>
                </c:pt>
                <c:pt idx="1">
                  <c:v>Membre1</c:v>
                </c:pt>
                <c:pt idx="2">
                  <c:v>Membre2</c:v>
                </c:pt>
                <c:pt idx="3">
                  <c:v>Membre3</c:v>
                </c:pt>
                <c:pt idx="4">
                  <c:v>Membre4</c:v>
                </c:pt>
                <c:pt idx="5">
                  <c:v>Membre5</c:v>
                </c:pt>
                <c:pt idx="6">
                  <c:v>Membre6</c:v>
                </c:pt>
                <c:pt idx="7">
                  <c:v>GHT</c:v>
                </c:pt>
              </c:strCache>
            </c:strRef>
          </c:cat>
          <c:val>
            <c:numRef>
              <c:f>'2emePARTIE'!$B$395:$I$395</c:f>
              <c:numCache>
                <c:formatCode>General</c:formatCode>
                <c:ptCount val="8"/>
                <c:pt idx="0">
                  <c:v>30</c:v>
                </c:pt>
                <c:pt idx="1">
                  <c:v>20</c:v>
                </c:pt>
                <c:pt idx="2">
                  <c:v>15</c:v>
                </c:pt>
                <c:pt idx="3">
                  <c:v>18</c:v>
                </c:pt>
                <c:pt idx="4">
                  <c:v>25</c:v>
                </c:pt>
                <c:pt idx="5">
                  <c:v>8</c:v>
                </c:pt>
                <c:pt idx="6">
                  <c:v>6</c:v>
                </c:pt>
                <c:pt idx="7" formatCode="0">
                  <c:v>17.428571428571427</c:v>
                </c:pt>
              </c:numCache>
            </c:numRef>
          </c:val>
        </c:ser>
        <c:ser>
          <c:idx val="2"/>
          <c:order val="2"/>
          <c:tx>
            <c:strRef>
              <c:f>'2emePARTIE'!$A$396</c:f>
              <c:strCache>
                <c:ptCount val="1"/>
                <c:pt idx="0">
                  <c:v>Volume financier total d'achat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'2emePARTIE'!$B$394:$I$394</c:f>
              <c:strCache>
                <c:ptCount val="8"/>
                <c:pt idx="0">
                  <c:v>Support</c:v>
                </c:pt>
                <c:pt idx="1">
                  <c:v>Membre1</c:v>
                </c:pt>
                <c:pt idx="2">
                  <c:v>Membre2</c:v>
                </c:pt>
                <c:pt idx="3">
                  <c:v>Membre3</c:v>
                </c:pt>
                <c:pt idx="4">
                  <c:v>Membre4</c:v>
                </c:pt>
                <c:pt idx="5">
                  <c:v>Membre5</c:v>
                </c:pt>
                <c:pt idx="6">
                  <c:v>Membre6</c:v>
                </c:pt>
                <c:pt idx="7">
                  <c:v>GHT</c:v>
                </c:pt>
              </c:strCache>
            </c:strRef>
          </c:cat>
          <c:val>
            <c:numRef>
              <c:f>'2emePARTIE'!$B$396:$I$396</c:f>
              <c:numCache>
                <c:formatCode>#,##0.00,," M€"</c:formatCode>
                <c:ptCount val="8"/>
                <c:pt idx="0">
                  <c:v>5316819</c:v>
                </c:pt>
                <c:pt idx="1">
                  <c:v>5028872.0000000009</c:v>
                </c:pt>
                <c:pt idx="2">
                  <c:v>6718380</c:v>
                </c:pt>
                <c:pt idx="3">
                  <c:v>6737412</c:v>
                </c:pt>
                <c:pt idx="4">
                  <c:v>6191517</c:v>
                </c:pt>
                <c:pt idx="5">
                  <c:v>5986291</c:v>
                </c:pt>
                <c:pt idx="6">
                  <c:v>6020709</c:v>
                </c:pt>
                <c:pt idx="7">
                  <c:v>6000000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overlap val="-100"/>
        <c:axId val="142930304"/>
        <c:axId val="142919936"/>
      </c:barChart>
      <c:valAx>
        <c:axId val="142908416"/>
        <c:scaling>
          <c:orientation val="minMax"/>
        </c:scaling>
        <c:delete val="1"/>
        <c:axPos val="r"/>
        <c:numFmt formatCode="#,##0.00,,&quot; M€&quot;" sourceLinked="1"/>
        <c:majorTickMark val="out"/>
        <c:minorTickMark val="none"/>
        <c:tickLblPos val="nextTo"/>
        <c:crossAx val="142918400"/>
        <c:crosses val="max"/>
        <c:crossBetween val="between"/>
      </c:valAx>
      <c:catAx>
        <c:axId val="142918400"/>
        <c:scaling>
          <c:orientation val="minMax"/>
        </c:scaling>
        <c:delete val="1"/>
        <c:axPos val="b"/>
        <c:majorTickMark val="out"/>
        <c:minorTickMark val="none"/>
        <c:tickLblPos val="nextTo"/>
        <c:crossAx val="142908416"/>
        <c:crosses val="autoZero"/>
        <c:auto val="1"/>
        <c:lblAlgn val="ctr"/>
        <c:lblOffset val="100"/>
        <c:noMultiLvlLbl val="0"/>
      </c:catAx>
      <c:valAx>
        <c:axId val="142919936"/>
        <c:scaling>
          <c:orientation val="minMax"/>
          <c:max val="1250000"/>
          <c:min val="0"/>
        </c:scaling>
        <c:delete val="0"/>
        <c:axPos val="l"/>
        <c:numFmt formatCode="#,##0.0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2930304"/>
        <c:crosses val="autoZero"/>
        <c:crossBetween val="between"/>
        <c:dispUnits>
          <c:builtInUnit val="millions"/>
          <c:dispUnitsLbl>
            <c:txPr>
              <a:bodyPr/>
              <a:lstStyle/>
              <a:p>
                <a:pPr>
                  <a:defRPr sz="800" b="0" i="1"/>
                </a:pPr>
                <a:endParaRPr lang="fr-FR"/>
              </a:p>
            </c:txPr>
          </c:dispUnitsLbl>
        </c:dispUnits>
      </c:valAx>
      <c:catAx>
        <c:axId val="142930304"/>
        <c:scaling>
          <c:orientation val="minMax"/>
        </c:scaling>
        <c:delete val="1"/>
        <c:axPos val="b"/>
        <c:majorTickMark val="out"/>
        <c:minorTickMark val="none"/>
        <c:tickLblPos val="nextTo"/>
        <c:crossAx val="142919936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0"/>
        <c:spPr>
          <a:noFill/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/>
          <a:lstStyle/>
          <a:p>
            <a:pPr rtl="0">
              <a:defRPr sz="800"/>
            </a:pPr>
            <a:endParaRPr lang="fr-FR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200"/>
              <a:t>Montant gains</a:t>
            </a:r>
            <a:r>
              <a:rPr lang="fr-FR" sz="1200" baseline="0"/>
              <a:t> </a:t>
            </a:r>
            <a:r>
              <a:rPr lang="fr-FR" sz="1200"/>
              <a:t>achat année 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'1_PerfAchats'!$D$4</c:f>
              <c:strCache>
                <c:ptCount val="1"/>
                <c:pt idx="0">
                  <c:v>Montant gains achat année N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numFmt formatCode="#,##0_)\K&quot;€&quot;;[Red]\(#,##0\)\K&quot;€&quot;" sourceLinked="0"/>
              <c:spPr/>
              <c:txPr>
                <a:bodyPr/>
                <a:lstStyle/>
                <a:p>
                  <a:pPr>
                    <a:defRPr sz="80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\ &quot;€&quot;" sourceLinked="0"/>
            <c:txPr>
              <a:bodyPr/>
              <a:lstStyle/>
              <a:p>
                <a:pPr>
                  <a:defRPr sz="80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'1_PerfAchats'!$E$1:$Q$1</c:f>
              <c:strCache>
                <c:ptCount val="13"/>
                <c:pt idx="0">
                  <c:v>Report 2016</c:v>
                </c:pt>
                <c:pt idx="1">
                  <c:v>Janvier</c:v>
                </c:pt>
                <c:pt idx="2">
                  <c:v>Février</c:v>
                </c:pt>
                <c:pt idx="3">
                  <c:v>Mars</c:v>
                </c:pt>
                <c:pt idx="4">
                  <c:v>Avril</c:v>
                </c:pt>
                <c:pt idx="5">
                  <c:v>Mai</c:v>
                </c:pt>
                <c:pt idx="6">
                  <c:v>Juin</c:v>
                </c:pt>
                <c:pt idx="7">
                  <c:v>Juillet</c:v>
                </c:pt>
                <c:pt idx="8">
                  <c:v>Août</c:v>
                </c:pt>
                <c:pt idx="9">
                  <c:v>Septembre</c:v>
                </c:pt>
                <c:pt idx="10">
                  <c:v>Octobre</c:v>
                </c:pt>
                <c:pt idx="11">
                  <c:v>Novembre</c:v>
                </c:pt>
                <c:pt idx="12">
                  <c:v>Décembre</c:v>
                </c:pt>
              </c:strCache>
            </c:strRef>
          </c:cat>
          <c:val>
            <c:numRef>
              <c:f>'1_PerfAchats'!$E$4:$Q$4</c:f>
              <c:numCache>
                <c:formatCode>"€"#,##0.00_);[Red]\("€"#,##0.00\)</c:formatCode>
                <c:ptCount val="13"/>
                <c:pt idx="0">
                  <c:v>500000</c:v>
                </c:pt>
                <c:pt idx="1">
                  <c:v>540958.00000000116</c:v>
                </c:pt>
                <c:pt idx="2">
                  <c:v>115388</c:v>
                </c:pt>
                <c:pt idx="3">
                  <c:v>186167</c:v>
                </c:pt>
                <c:pt idx="4">
                  <c:v>367710</c:v>
                </c:pt>
                <c:pt idx="5">
                  <c:v>236956</c:v>
                </c:pt>
                <c:pt idx="6">
                  <c:v>637989</c:v>
                </c:pt>
                <c:pt idx="7">
                  <c:v>584005</c:v>
                </c:pt>
                <c:pt idx="8">
                  <c:v>77490</c:v>
                </c:pt>
                <c:pt idx="9">
                  <c:v>875299</c:v>
                </c:pt>
                <c:pt idx="10">
                  <c:v>130324</c:v>
                </c:pt>
                <c:pt idx="11">
                  <c:v>973079</c:v>
                </c:pt>
                <c:pt idx="12">
                  <c:v>274635</c:v>
                </c:pt>
              </c:numCache>
            </c:numRef>
          </c:val>
        </c:ser>
        <c:ser>
          <c:idx val="0"/>
          <c:order val="1"/>
          <c:tx>
            <c:strRef>
              <c:f>'1_PerfAchats'!$D$5</c:f>
              <c:strCache>
                <c:ptCount val="1"/>
                <c:pt idx="0">
                  <c:v>Montant gains achat année N (cumulés)</c:v>
                </c:pt>
              </c:strCache>
            </c:strRef>
          </c:tx>
          <c:invertIfNegative val="0"/>
          <c:cat>
            <c:strRef>
              <c:f>'1_PerfAchats'!$E$1:$Q$1</c:f>
              <c:strCache>
                <c:ptCount val="13"/>
                <c:pt idx="0">
                  <c:v>Report 2016</c:v>
                </c:pt>
                <c:pt idx="1">
                  <c:v>Janvier</c:v>
                </c:pt>
                <c:pt idx="2">
                  <c:v>Février</c:v>
                </c:pt>
                <c:pt idx="3">
                  <c:v>Mars</c:v>
                </c:pt>
                <c:pt idx="4">
                  <c:v>Avril</c:v>
                </c:pt>
                <c:pt idx="5">
                  <c:v>Mai</c:v>
                </c:pt>
                <c:pt idx="6">
                  <c:v>Juin</c:v>
                </c:pt>
                <c:pt idx="7">
                  <c:v>Juillet</c:v>
                </c:pt>
                <c:pt idx="8">
                  <c:v>Août</c:v>
                </c:pt>
                <c:pt idx="9">
                  <c:v>Septembre</c:v>
                </c:pt>
                <c:pt idx="10">
                  <c:v>Octobre</c:v>
                </c:pt>
                <c:pt idx="11">
                  <c:v>Novembre</c:v>
                </c:pt>
                <c:pt idx="12">
                  <c:v>Décembre</c:v>
                </c:pt>
              </c:strCache>
            </c:strRef>
          </c:cat>
          <c:val>
            <c:numRef>
              <c:f>'1_PerfAchats'!$E$5:$Q$5</c:f>
              <c:numCache>
                <c:formatCode>"€"#,##0.00_);[Red]\("€"#,##0.00\)</c:formatCode>
                <c:ptCount val="13"/>
                <c:pt idx="1">
                  <c:v>540958.00000000116</c:v>
                </c:pt>
                <c:pt idx="2">
                  <c:v>656346.00000000116</c:v>
                </c:pt>
                <c:pt idx="3">
                  <c:v>842513.00000000116</c:v>
                </c:pt>
                <c:pt idx="4">
                  <c:v>1210223.0000000012</c:v>
                </c:pt>
                <c:pt idx="5">
                  <c:v>1447179.0000000012</c:v>
                </c:pt>
                <c:pt idx="6">
                  <c:v>2085168.0000000012</c:v>
                </c:pt>
                <c:pt idx="7">
                  <c:v>2669173.0000000009</c:v>
                </c:pt>
                <c:pt idx="8">
                  <c:v>2746663.0000000009</c:v>
                </c:pt>
                <c:pt idx="9">
                  <c:v>3621962.0000000009</c:v>
                </c:pt>
                <c:pt idx="10">
                  <c:v>3752286.0000000009</c:v>
                </c:pt>
                <c:pt idx="11">
                  <c:v>4725365.0000000009</c:v>
                </c:pt>
                <c:pt idx="12">
                  <c:v>5000000.0000000009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125504"/>
        <c:axId val="141127040"/>
      </c:barChart>
      <c:lineChart>
        <c:grouping val="standard"/>
        <c:varyColors val="0"/>
        <c:ser>
          <c:idx val="2"/>
          <c:order val="2"/>
          <c:tx>
            <c:strRef>
              <c:f>'1_PerfAchats'!$D$26</c:f>
              <c:strCache>
                <c:ptCount val="1"/>
                <c:pt idx="0">
                  <c:v>Obj gains d'achat CPOM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'1_PerfAchats'!$E$1:$Q$1</c:f>
              <c:strCache>
                <c:ptCount val="13"/>
                <c:pt idx="0">
                  <c:v>Report 2016</c:v>
                </c:pt>
                <c:pt idx="1">
                  <c:v>Janvier</c:v>
                </c:pt>
                <c:pt idx="2">
                  <c:v>Février</c:v>
                </c:pt>
                <c:pt idx="3">
                  <c:v>Mars</c:v>
                </c:pt>
                <c:pt idx="4">
                  <c:v>Avril</c:v>
                </c:pt>
                <c:pt idx="5">
                  <c:v>Mai</c:v>
                </c:pt>
                <c:pt idx="6">
                  <c:v>Juin</c:v>
                </c:pt>
                <c:pt idx="7">
                  <c:v>Juillet</c:v>
                </c:pt>
                <c:pt idx="8">
                  <c:v>Août</c:v>
                </c:pt>
                <c:pt idx="9">
                  <c:v>Septembre</c:v>
                </c:pt>
                <c:pt idx="10">
                  <c:v>Octobre</c:v>
                </c:pt>
                <c:pt idx="11">
                  <c:v>Novembre</c:v>
                </c:pt>
                <c:pt idx="12">
                  <c:v>Décembre</c:v>
                </c:pt>
              </c:strCache>
            </c:strRef>
          </c:cat>
          <c:val>
            <c:numRef>
              <c:f>'1_PerfAchats'!$E$26:$Q$26</c:f>
              <c:numCache>
                <c:formatCode>"€"#,##0.00_);[Red]\("€"#,##0.00\)</c:formatCode>
                <c:ptCount val="13"/>
                <c:pt idx="1">
                  <c:v>375000</c:v>
                </c:pt>
                <c:pt idx="2">
                  <c:v>750000</c:v>
                </c:pt>
                <c:pt idx="3">
                  <c:v>1125000</c:v>
                </c:pt>
                <c:pt idx="4">
                  <c:v>1500000</c:v>
                </c:pt>
                <c:pt idx="5">
                  <c:v>1875000</c:v>
                </c:pt>
                <c:pt idx="6">
                  <c:v>2250000</c:v>
                </c:pt>
                <c:pt idx="7">
                  <c:v>2625000</c:v>
                </c:pt>
                <c:pt idx="8">
                  <c:v>3000000</c:v>
                </c:pt>
                <c:pt idx="9">
                  <c:v>3375000</c:v>
                </c:pt>
                <c:pt idx="10">
                  <c:v>3750000</c:v>
                </c:pt>
                <c:pt idx="11">
                  <c:v>4125000</c:v>
                </c:pt>
                <c:pt idx="12">
                  <c:v>4500000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25504"/>
        <c:axId val="141127040"/>
      </c:lineChart>
      <c:catAx>
        <c:axId val="14112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1127040"/>
        <c:crosses val="autoZero"/>
        <c:auto val="1"/>
        <c:lblAlgn val="ctr"/>
        <c:lblOffset val="100"/>
        <c:noMultiLvlLbl val="0"/>
      </c:catAx>
      <c:valAx>
        <c:axId val="141127040"/>
        <c:scaling>
          <c:orientation val="minMax"/>
        </c:scaling>
        <c:delete val="0"/>
        <c:axPos val="l"/>
        <c:majorGridlines/>
        <c:numFmt formatCode="#,##0_)\K&quot;€&quot;;[Red]\(#,##0\)\K&quot;€&quot;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1125504"/>
        <c:crosses val="autoZero"/>
        <c:crossBetween val="between"/>
        <c:dispUnits>
          <c:builtInUnit val="thousands"/>
        </c:dispUnits>
      </c:valAx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200"/>
              <a:t>Ratios cumulés des gains année N</a:t>
            </a:r>
          </a:p>
        </c:rich>
      </c:tx>
      <c:layout>
        <c:manualLayout>
          <c:xMode val="edge"/>
          <c:yMode val="edge"/>
          <c:x val="0.2223222903044639"/>
          <c:y val="0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4"/>
          <c:order val="4"/>
          <c:tx>
            <c:strRef>
              <c:f>'1_PerfAchats'!$D$6</c:f>
              <c:strCache>
                <c:ptCount val="1"/>
                <c:pt idx="0">
                  <c:v>Total montant gains achat réalisés avec report N-1</c:v>
                </c:pt>
              </c:strCache>
            </c:strRef>
          </c:tx>
          <c:invertIfNegative val="0"/>
          <c:dPt>
            <c:idx val="12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cat>
            <c:strRef>
              <c:f>'1_PerfAchats'!$F$1:$R$1</c:f>
              <c:strCache>
                <c:ptCount val="13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  <c:pt idx="12">
                  <c:v>TOTAL</c:v>
                </c:pt>
              </c:strCache>
            </c:strRef>
          </c:cat>
          <c:val>
            <c:numRef>
              <c:f>'1_PerfAchats'!$F$6:$R$6</c:f>
              <c:numCache>
                <c:formatCode>"€"#,##0.00_);[Red]\("€"#,##0.00\)</c:formatCode>
                <c:ptCount val="13"/>
                <c:pt idx="12">
                  <c:v>5500000.0000000009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41073408"/>
        <c:axId val="141071488"/>
      </c:barChart>
      <c:lineChart>
        <c:grouping val="standard"/>
        <c:varyColors val="0"/>
        <c:ser>
          <c:idx val="0"/>
          <c:order val="0"/>
          <c:tx>
            <c:strRef>
              <c:f>'1_PerfAchats'!$D$14</c:f>
              <c:strCache>
                <c:ptCount val="1"/>
                <c:pt idx="0">
                  <c:v>% de gains /Périmètre traitable (cumulé)</c:v>
                </c:pt>
              </c:strCache>
            </c:strRef>
          </c:tx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strRef>
              <c:f>'1_PerfAchats'!$F$1:$R$1</c:f>
              <c:strCache>
                <c:ptCount val="13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  <c:pt idx="12">
                  <c:v>TOTAL</c:v>
                </c:pt>
              </c:strCache>
            </c:strRef>
          </c:cat>
          <c:val>
            <c:numRef>
              <c:f>'1_PerfAchats'!$F$14:$Q$14</c:f>
              <c:numCache>
                <c:formatCode>0.00%</c:formatCode>
                <c:ptCount val="12"/>
                <c:pt idx="0">
                  <c:v>4.2469855445254549E-2</c:v>
                </c:pt>
                <c:pt idx="1">
                  <c:v>2.6382045131238006E-2</c:v>
                </c:pt>
                <c:pt idx="2">
                  <c:v>2.4746435922024204E-2</c:v>
                </c:pt>
                <c:pt idx="3">
                  <c:v>2.8145693593039079E-2</c:v>
                </c:pt>
                <c:pt idx="4">
                  <c:v>2.6827937438536977E-2</c:v>
                </c:pt>
                <c:pt idx="5">
                  <c:v>3.2722759618641253E-2</c:v>
                </c:pt>
                <c:pt idx="6">
                  <c:v>3.5426364901381409E-2</c:v>
                </c:pt>
                <c:pt idx="7">
                  <c:v>3.2066993237517431E-2</c:v>
                </c:pt>
                <c:pt idx="8">
                  <c:v>3.68484753432382E-2</c:v>
                </c:pt>
                <c:pt idx="9">
                  <c:v>3.5040664150019843E-2</c:v>
                </c:pt>
                <c:pt idx="10">
                  <c:v>3.9840395095809514E-2</c:v>
                </c:pt>
                <c:pt idx="11">
                  <c:v>3.8461538461538464E-2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'1_PerfAchats'!$D$15</c:f>
              <c:strCache>
                <c:ptCount val="1"/>
                <c:pt idx="0">
                  <c:v>% de gains /Périmètre traité (cumulé)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'1_PerfAchats'!$F$1:$R$1</c:f>
              <c:strCache>
                <c:ptCount val="13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  <c:pt idx="12">
                  <c:v>TOTAL</c:v>
                </c:pt>
              </c:strCache>
            </c:strRef>
          </c:cat>
          <c:val>
            <c:numRef>
              <c:f>'1_PerfAchats'!$F$15:$Q$15</c:f>
              <c:numCache>
                <c:formatCode>0.00%</c:formatCode>
                <c:ptCount val="12"/>
                <c:pt idx="0">
                  <c:v>5.2871073309431131E-2</c:v>
                </c:pt>
                <c:pt idx="1">
                  <c:v>3.2986326886917661E-2</c:v>
                </c:pt>
                <c:pt idx="2">
                  <c:v>3.1711775610712367E-2</c:v>
                </c:pt>
                <c:pt idx="3">
                  <c:v>3.6672978610169042E-2</c:v>
                </c:pt>
                <c:pt idx="4">
                  <c:v>3.4891458552121397E-2</c:v>
                </c:pt>
                <c:pt idx="5">
                  <c:v>4.2752275098914883E-2</c:v>
                </c:pt>
                <c:pt idx="6">
                  <c:v>4.6085513007462046E-2</c:v>
                </c:pt>
                <c:pt idx="7">
                  <c:v>4.1803216624836784E-2</c:v>
                </c:pt>
                <c:pt idx="8">
                  <c:v>4.7765765832061283E-2</c:v>
                </c:pt>
                <c:pt idx="9">
                  <c:v>4.5676632701642746E-2</c:v>
                </c:pt>
                <c:pt idx="10">
                  <c:v>5.1847504840921113E-2</c:v>
                </c:pt>
                <c:pt idx="11">
                  <c:v>5.000000000000001E-2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'1_PerfAchats'!$D$16</c:f>
              <c:strCache>
                <c:ptCount val="1"/>
                <c:pt idx="0">
                  <c:v>Obj. périmètre traitable</c:v>
                </c:pt>
              </c:strCache>
            </c:strRef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diamond"/>
            <c:size val="3"/>
            <c:spPr>
              <a:solidFill>
                <a:schemeClr val="accent2">
                  <a:lumMod val="75000"/>
                </a:schemeClr>
              </a:solidFill>
              <a:ln w="6350">
                <a:solidFill>
                  <a:schemeClr val="accent2">
                    <a:lumMod val="75000"/>
                  </a:schemeClr>
                </a:solidFill>
              </a:ln>
            </c:spPr>
          </c:marker>
          <c:dLbls>
            <c:dLbl>
              <c:idx val="1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'1_PerfAchats'!$F$1:$R$1</c:f>
              <c:strCache>
                <c:ptCount val="13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  <c:pt idx="12">
                  <c:v>TOTAL</c:v>
                </c:pt>
              </c:strCache>
            </c:strRef>
          </c:cat>
          <c:val>
            <c:numRef>
              <c:f>'1_PerfAchats'!$F$16:$Q$16</c:f>
              <c:numCache>
                <c:formatCode>0.00%</c:formatCode>
                <c:ptCount val="12"/>
                <c:pt idx="0">
                  <c:v>2.6700000000000002E-2</c:v>
                </c:pt>
                <c:pt idx="1">
                  <c:v>2.6700000000000002E-2</c:v>
                </c:pt>
                <c:pt idx="2">
                  <c:v>2.6700000000000002E-2</c:v>
                </c:pt>
                <c:pt idx="3">
                  <c:v>2.6700000000000002E-2</c:v>
                </c:pt>
                <c:pt idx="4">
                  <c:v>2.6700000000000002E-2</c:v>
                </c:pt>
                <c:pt idx="5">
                  <c:v>2.6700000000000002E-2</c:v>
                </c:pt>
                <c:pt idx="6">
                  <c:v>2.6700000000000002E-2</c:v>
                </c:pt>
                <c:pt idx="7">
                  <c:v>2.6700000000000002E-2</c:v>
                </c:pt>
                <c:pt idx="8">
                  <c:v>2.6700000000000002E-2</c:v>
                </c:pt>
                <c:pt idx="9">
                  <c:v>2.6700000000000002E-2</c:v>
                </c:pt>
                <c:pt idx="10">
                  <c:v>2.6700000000000002E-2</c:v>
                </c:pt>
                <c:pt idx="11">
                  <c:v>2.6700000000000002E-2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'1_PerfAchats'!$D$17</c:f>
              <c:strCache>
                <c:ptCount val="1"/>
                <c:pt idx="0">
                  <c:v>Obj. périmètre traité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ymbol val="diamond"/>
            <c:size val="3"/>
            <c:spPr>
              <a:solidFill>
                <a:schemeClr val="accent2">
                  <a:lumMod val="75000"/>
                </a:schemeClr>
              </a:solidFill>
              <a:ln w="6350"/>
            </c:spPr>
          </c:marker>
          <c:dLbls>
            <c:dLbl>
              <c:idx val="1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'1_PerfAchats'!$F$1:$R$1</c:f>
              <c:strCache>
                <c:ptCount val="13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  <c:pt idx="12">
                  <c:v>TOTAL</c:v>
                </c:pt>
              </c:strCache>
            </c:strRef>
          </c:cat>
          <c:val>
            <c:numRef>
              <c:f>'1_PerfAchats'!$F$17:$Q$17</c:f>
              <c:numCache>
                <c:formatCode>0.00%</c:formatCode>
                <c:ptCount val="12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059968"/>
        <c:axId val="141061504"/>
      </c:lineChart>
      <c:catAx>
        <c:axId val="14105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1061504"/>
        <c:crosses val="autoZero"/>
        <c:auto val="0"/>
        <c:lblAlgn val="ctr"/>
        <c:lblOffset val="100"/>
        <c:noMultiLvlLbl val="0"/>
      </c:catAx>
      <c:valAx>
        <c:axId val="141061504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1059968"/>
        <c:crosses val="autoZero"/>
        <c:crossBetween val="between"/>
      </c:valAx>
      <c:valAx>
        <c:axId val="141071488"/>
        <c:scaling>
          <c:orientation val="minMax"/>
        </c:scaling>
        <c:delete val="0"/>
        <c:axPos val="r"/>
        <c:numFmt formatCode="#,##0_)\K&quot;€&quot;;[Red]\(#,##0\)\K&quot;€&quot;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1073408"/>
        <c:crosses val="max"/>
        <c:crossBetween val="between"/>
        <c:dispUnits>
          <c:builtInUnit val="thousands"/>
        </c:dispUnits>
      </c:valAx>
      <c:catAx>
        <c:axId val="141073408"/>
        <c:scaling>
          <c:orientation val="minMax"/>
        </c:scaling>
        <c:delete val="1"/>
        <c:axPos val="b"/>
        <c:majorTickMark val="out"/>
        <c:minorTickMark val="none"/>
        <c:tickLblPos val="none"/>
        <c:crossAx val="141071488"/>
        <c:crosses val="autoZero"/>
        <c:auto val="1"/>
        <c:lblAlgn val="ctr"/>
        <c:lblOffset val="100"/>
        <c:noMultiLvlLbl val="0"/>
      </c:catAx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Tenue objectif</a:t>
            </a:r>
            <a:r>
              <a:rPr lang="fr-FR" sz="1200" baseline="0"/>
              <a:t> </a:t>
            </a:r>
            <a:r>
              <a:rPr lang="fr-FR" sz="1200"/>
              <a:t>de gains CPOM </a:t>
            </a:r>
          </a:p>
        </c:rich>
      </c:tx>
      <c:layout>
        <c:manualLayout>
          <c:xMode val="edge"/>
          <c:yMode val="edge"/>
          <c:x val="0.18870079831635614"/>
          <c:y val="3.593733424211341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'1_PerfAchats'!$D$5</c:f>
              <c:strCache>
                <c:ptCount val="1"/>
                <c:pt idx="0">
                  <c:v>Montant gains achat année N (cumulés)</c:v>
                </c:pt>
              </c:strCache>
            </c:strRef>
          </c:tx>
          <c:invertIfNegative val="0"/>
          <c:dPt>
            <c:idx val="4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4"/>
              <c:layout>
                <c:manualLayout>
                  <c:x val="-2.2126148665070232E-3"/>
                  <c:y val="0.5431642797660045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'1_PerfAchats'!$S$1:$V$1</c:f>
              <c:strCache>
                <c:ptCount val="4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</c:strCache>
            </c:strRef>
          </c:cat>
          <c:val>
            <c:numRef>
              <c:f>'1_PerfAchats'!$S$5:$V$5</c:f>
              <c:numCache>
                <c:formatCode>"€"#,##0.00_);[Red]\("€"#,##0.00\)</c:formatCode>
                <c:ptCount val="4"/>
                <c:pt idx="0">
                  <c:v>842513.00000000116</c:v>
                </c:pt>
                <c:pt idx="1">
                  <c:v>2085168.0000000012</c:v>
                </c:pt>
                <c:pt idx="2">
                  <c:v>3621962.0000000009</c:v>
                </c:pt>
                <c:pt idx="3">
                  <c:v>5000000.0000000009</c:v>
                </c:pt>
              </c:numCache>
            </c:numRef>
          </c:val>
        </c:ser>
        <c:ser>
          <c:idx val="2"/>
          <c:order val="2"/>
          <c:tx>
            <c:strRef>
              <c:f>'1_PerfAchats'!$D$26</c:f>
              <c:strCache>
                <c:ptCount val="1"/>
                <c:pt idx="0">
                  <c:v>Obj gains d'achat CPOM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layout>
                <c:manualLayout>
                  <c:x val="0.31143528022881861"/>
                  <c:y val="-0.11821111980499932"/>
                </c:manualLayout>
              </c:layout>
              <c:numFmt formatCode="#,##0_)\K&quot;€&quot;;[Red]\(#,##0\)\K&quot;€&quot;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fr-FR"/>
                </a:p>
              </c:txPr>
              <c:dLblPos val="outEnd"/>
              <c:showLegendKey val="1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'1_PerfAchats'!$S$1:$V$1</c:f>
              <c:strCache>
                <c:ptCount val="4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</c:strCache>
            </c:strRef>
          </c:cat>
          <c:val>
            <c:numRef>
              <c:f>'1_PerfAchats'!$S$26:$V$26</c:f>
              <c:numCache>
                <c:formatCode>"€"#,##0.00_);[Red]\("€"#,##0.00\)</c:formatCode>
                <c:ptCount val="4"/>
                <c:pt idx="0">
                  <c:v>1125000</c:v>
                </c:pt>
                <c:pt idx="1">
                  <c:v>2250000</c:v>
                </c:pt>
                <c:pt idx="2">
                  <c:v>3375000</c:v>
                </c:pt>
                <c:pt idx="3">
                  <c:v>4500000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axId val="141185408"/>
        <c:axId val="141186944"/>
      </c:barChart>
      <c:lineChart>
        <c:grouping val="stacked"/>
        <c:varyColors val="0"/>
        <c:ser>
          <c:idx val="1"/>
          <c:order val="0"/>
          <c:tx>
            <c:strRef>
              <c:f>'1_PerfAchats'!$D$27</c:f>
              <c:strCache>
                <c:ptCount val="1"/>
                <c:pt idx="0">
                  <c:v>% réalisation de l'objectif gain</c:v>
                </c:pt>
              </c:strCache>
            </c:strRef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diamond"/>
            <c:size val="5"/>
            <c:spPr>
              <a:solidFill>
                <a:schemeClr val="accent2">
                  <a:lumMod val="75000"/>
                </a:schemeClr>
              </a:solidFill>
              <a:ln w="6350"/>
            </c:spPr>
          </c:marker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'1_PerfAchats'!$S$1:$V$1</c:f>
              <c:strCache>
                <c:ptCount val="4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</c:strCache>
            </c:strRef>
          </c:cat>
          <c:val>
            <c:numRef>
              <c:f>'1_PerfAchats'!$S$27:$V$27</c:f>
              <c:numCache>
                <c:formatCode>0.00%</c:formatCode>
                <c:ptCount val="4"/>
                <c:pt idx="0">
                  <c:v>0.18722511111111137</c:v>
                </c:pt>
                <c:pt idx="1">
                  <c:v>0.46337066666666693</c:v>
                </c:pt>
                <c:pt idx="2">
                  <c:v>0.80488044444444462</c:v>
                </c:pt>
                <c:pt idx="3">
                  <c:v>1.1111111111111114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656"/>
        <c:axId val="141189120"/>
      </c:lineChart>
      <c:catAx>
        <c:axId val="14118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1186944"/>
        <c:crosses val="autoZero"/>
        <c:auto val="1"/>
        <c:lblAlgn val="ctr"/>
        <c:lblOffset val="100"/>
        <c:noMultiLvlLbl val="0"/>
      </c:catAx>
      <c:valAx>
        <c:axId val="141186944"/>
        <c:scaling>
          <c:orientation val="minMax"/>
        </c:scaling>
        <c:delete val="0"/>
        <c:axPos val="l"/>
        <c:majorGridlines/>
        <c:numFmt formatCode="#,##0_)\K&quot;€&quot;;[Red]\(#,##0\)\K&quot;€&quot;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1185408"/>
        <c:crosses val="autoZero"/>
        <c:crossBetween val="between"/>
        <c:dispUnits>
          <c:builtInUnit val="thousands"/>
        </c:dispUnits>
      </c:valAx>
      <c:valAx>
        <c:axId val="141189120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1190656"/>
        <c:crosses val="max"/>
        <c:crossBetween val="between"/>
      </c:valAx>
      <c:catAx>
        <c:axId val="141190656"/>
        <c:scaling>
          <c:orientation val="minMax"/>
        </c:scaling>
        <c:delete val="1"/>
        <c:axPos val="b"/>
        <c:majorTickMark val="out"/>
        <c:minorTickMark val="none"/>
        <c:tickLblPos val="none"/>
        <c:crossAx val="14118912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5781179379328736"/>
          <c:y val="0.44692089563591897"/>
          <c:w val="0.30902625937803924"/>
          <c:h val="0.47120578370267646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/>
              <a:t>Poids relatif des gains investissements dans les gains achat de l'année</a:t>
            </a:r>
          </a:p>
        </c:rich>
      </c:tx>
      <c:layout>
        <c:manualLayout>
          <c:xMode val="edge"/>
          <c:yMode val="edge"/>
          <c:x val="5.1908529112165716E-2"/>
          <c:y val="1.4526587658805925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'1_PerfAchats'!$D$8</c:f>
              <c:strCache>
                <c:ptCount val="1"/>
                <c:pt idx="0">
                  <c:v>% Gains investissement / Gains total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val>
            <c:numRef>
              <c:f>'1_PerfAchats'!$F$8:$J$8</c:f>
              <c:numCache>
                <c:formatCode>0.00%</c:formatCode>
                <c:ptCount val="5"/>
                <c:pt idx="0">
                  <c:v>0.12</c:v>
                </c:pt>
                <c:pt idx="1">
                  <c:v>0.09</c:v>
                </c:pt>
                <c:pt idx="2">
                  <c:v>0.11</c:v>
                </c:pt>
                <c:pt idx="3">
                  <c:v>0.11</c:v>
                </c:pt>
                <c:pt idx="4">
                  <c:v>0.08</c:v>
                </c:pt>
              </c:numCache>
            </c:numRef>
          </c:val>
        </c:ser>
        <c:ser>
          <c:idx val="1"/>
          <c:order val="1"/>
          <c:tx>
            <c:strRef>
              <c:f>'1_PerfAchats'!$D$4</c:f>
              <c:strCache>
                <c:ptCount val="1"/>
                <c:pt idx="0">
                  <c:v>Montant gains achat année N</c:v>
                </c:pt>
              </c:strCache>
            </c:strRef>
          </c:tx>
          <c:invertIfNegative val="0"/>
          <c:cat>
            <c:strRef>
              <c:f>'1_PerfAchats'!$F$1:$J$1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'1_PerfAchats'!$F$4:$J$4</c:f>
              <c:numCache>
                <c:formatCode>"€"#,##0.00_);[Red]\("€"#,##0.00\)</c:formatCode>
                <c:ptCount val="5"/>
                <c:pt idx="0">
                  <c:v>540958.00000000116</c:v>
                </c:pt>
                <c:pt idx="1">
                  <c:v>115388</c:v>
                </c:pt>
                <c:pt idx="2">
                  <c:v>186167</c:v>
                </c:pt>
                <c:pt idx="3">
                  <c:v>367710</c:v>
                </c:pt>
                <c:pt idx="4">
                  <c:v>236956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078208"/>
        <c:axId val="150079744"/>
      </c:barChart>
      <c:lineChart>
        <c:grouping val="stacked"/>
        <c:varyColors val="0"/>
        <c:ser>
          <c:idx val="0"/>
          <c:order val="2"/>
          <c:tx>
            <c:strRef>
              <c:f>'Annee N'!#REF!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'1_PerfAchats'!$F$1:$J$1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'Annee 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083072"/>
        <c:axId val="150081536"/>
      </c:lineChart>
      <c:catAx>
        <c:axId val="15007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0079744"/>
        <c:crosses val="autoZero"/>
        <c:auto val="0"/>
        <c:lblAlgn val="ctr"/>
        <c:lblOffset val="100"/>
        <c:noMultiLvlLbl val="0"/>
      </c:catAx>
      <c:valAx>
        <c:axId val="15007974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50078208"/>
        <c:crosses val="autoZero"/>
        <c:crossBetween val="between"/>
      </c:valAx>
      <c:valAx>
        <c:axId val="1500815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50083072"/>
        <c:crosses val="max"/>
        <c:crossBetween val="between"/>
      </c:valAx>
      <c:catAx>
        <c:axId val="150083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50081536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200"/>
              <a:t>Poids relatif des gains d'invest.sur gain total</a:t>
            </a:r>
          </a:p>
        </c:rich>
      </c:tx>
      <c:layout>
        <c:manualLayout>
          <c:xMode val="edge"/>
          <c:yMode val="edge"/>
          <c:x val="0.2223222903044639"/>
          <c:y val="0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'1_PerfAchats'!$D$8</c:f>
              <c:strCache>
                <c:ptCount val="1"/>
                <c:pt idx="0">
                  <c:v>% Gains investissement / Gains total</c:v>
                </c:pt>
              </c:strCache>
            </c:strRef>
          </c:tx>
          <c:marker>
            <c:symbol val="diamond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</c:spPr>
          </c:marker>
          <c:cat>
            <c:strRef>
              <c:f>'1_PerfAchats'!$F$1:$Q$1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'1_PerfAchats'!$F$8:$Q$8</c:f>
              <c:numCache>
                <c:formatCode>0.00%</c:formatCode>
                <c:ptCount val="12"/>
                <c:pt idx="0">
                  <c:v>0.12</c:v>
                </c:pt>
                <c:pt idx="1">
                  <c:v>0.09</c:v>
                </c:pt>
                <c:pt idx="2">
                  <c:v>0.11</c:v>
                </c:pt>
                <c:pt idx="3">
                  <c:v>0.11</c:v>
                </c:pt>
                <c:pt idx="4">
                  <c:v>0.08</c:v>
                </c:pt>
                <c:pt idx="5">
                  <c:v>0.13</c:v>
                </c:pt>
                <c:pt idx="6">
                  <c:v>0.14000000000000001</c:v>
                </c:pt>
                <c:pt idx="7">
                  <c:v>0.14000000000000001</c:v>
                </c:pt>
                <c:pt idx="8">
                  <c:v>0.13</c:v>
                </c:pt>
                <c:pt idx="9">
                  <c:v>0.13</c:v>
                </c:pt>
                <c:pt idx="10">
                  <c:v>0.09</c:v>
                </c:pt>
                <c:pt idx="11">
                  <c:v>0.14000000000000001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'1_PerfAchats'!$D$9</c:f>
              <c:strCache>
                <c:ptCount val="1"/>
                <c:pt idx="0">
                  <c:v>Objectif</c:v>
                </c:pt>
              </c:strCache>
            </c:strRef>
          </c:tx>
          <c:marker>
            <c:symbol val="none"/>
          </c:marker>
          <c:dPt>
            <c:idx val="6"/>
            <c:bubble3D val="0"/>
            <c:spPr>
              <a:ln>
                <a:solidFill>
                  <a:schemeClr val="accent2">
                    <a:lumMod val="75000"/>
                  </a:schemeClr>
                </a:solidFill>
              </a:ln>
            </c:spPr>
          </c:dPt>
          <c:cat>
            <c:strRef>
              <c:f>'1_PerfAchats'!$F$1:$Q$1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'1_PerfAchats'!$F$9:$Q$9</c:f>
              <c:numCache>
                <c:formatCode>0.00%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00608"/>
        <c:axId val="150118784"/>
      </c:lineChart>
      <c:catAx>
        <c:axId val="15010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0118784"/>
        <c:crosses val="autoZero"/>
        <c:auto val="0"/>
        <c:lblAlgn val="ctr"/>
        <c:lblOffset val="100"/>
        <c:noMultiLvlLbl val="0"/>
      </c:catAx>
      <c:valAx>
        <c:axId val="150118784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010060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1200"/>
              <a:t>Ratio d'établissements impliqués dans P.A.A.T. sur total établissements GHT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'2_Gouvernance'!$D$4</c:f>
              <c:strCache>
                <c:ptCount val="1"/>
                <c:pt idx="0">
                  <c:v>Ratio d'établissements impliqués dans P.A.A.T. sur total établissements GHT</c:v>
                </c:pt>
              </c:strCache>
            </c:strRef>
          </c:tx>
          <c:invertIfNegative val="0"/>
          <c:cat>
            <c:strRef>
              <c:f>'2_Gouvernance'!$I$1:$J$1</c:f>
              <c:strCache>
                <c:ptCount val="2"/>
                <c:pt idx="0">
                  <c:v>S1-2017</c:v>
                </c:pt>
                <c:pt idx="1">
                  <c:v>S1-2017</c:v>
                </c:pt>
              </c:strCache>
            </c:strRef>
          </c:cat>
          <c:val>
            <c:numRef>
              <c:f>'2_Gouvernance'!$I$4:$J$4</c:f>
              <c:numCache>
                <c:formatCode>0.00%</c:formatCode>
                <c:ptCount val="2"/>
                <c:pt idx="0">
                  <c:v>0.21000000000000002</c:v>
                </c:pt>
                <c:pt idx="1">
                  <c:v>0.22500000000000001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193280"/>
        <c:axId val="150194816"/>
      </c:barChart>
      <c:catAx>
        <c:axId val="15019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0194816"/>
        <c:crosses val="autoZero"/>
        <c:auto val="1"/>
        <c:lblAlgn val="ctr"/>
        <c:lblOffset val="100"/>
        <c:noMultiLvlLbl val="0"/>
      </c:catAx>
      <c:valAx>
        <c:axId val="150194816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019328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200"/>
              <a:t>Part actions mutualisées P.A.A.T. sur total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'2_Gouvernance'!$D$5</c:f>
              <c:strCache>
                <c:ptCount val="1"/>
                <c:pt idx="0">
                  <c:v>Part actions mutualisées P.A.A.T. sur total</c:v>
                </c:pt>
              </c:strCache>
            </c:strRef>
          </c:tx>
          <c:invertIfNegative val="0"/>
          <c:cat>
            <c:strRef>
              <c:f>'2_Gouvernance'!$I$1:$J$1</c:f>
              <c:strCache>
                <c:ptCount val="2"/>
                <c:pt idx="0">
                  <c:v>S1-2017</c:v>
                </c:pt>
                <c:pt idx="1">
                  <c:v>S1-2017</c:v>
                </c:pt>
              </c:strCache>
            </c:strRef>
          </c:cat>
          <c:val>
            <c:numRef>
              <c:f>'2_Gouvernance'!$I$5:$J$5</c:f>
              <c:numCache>
                <c:formatCode>0.00%</c:formatCode>
                <c:ptCount val="2"/>
                <c:pt idx="0">
                  <c:v>0.16</c:v>
                </c:pt>
                <c:pt idx="1">
                  <c:v>0.17500000000000002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198848"/>
        <c:axId val="143204736"/>
      </c:barChart>
      <c:catAx>
        <c:axId val="14319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3204736"/>
        <c:crosses val="autoZero"/>
        <c:auto val="1"/>
        <c:lblAlgn val="ctr"/>
        <c:lblOffset val="100"/>
        <c:noMultiLvlLbl val="0"/>
      </c:catAx>
      <c:valAx>
        <c:axId val="143204736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319884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Nombre de commandes</a:t>
            </a:r>
          </a:p>
          <a:p>
            <a:pPr algn="l">
              <a:defRPr/>
            </a:pPr>
            <a:r>
              <a:rPr lang="fr-FR" sz="1200"/>
              <a:t>Montant moyen mensuel d'une commande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704327585756839E-2"/>
          <c:y val="0.2919193120120479"/>
          <c:w val="0.60826073789603852"/>
          <c:h val="0.44839647427155382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'3_ProcessusAchats'!$D$4</c:f>
              <c:strCache>
                <c:ptCount val="1"/>
                <c:pt idx="0">
                  <c:v>Nombre de commandes passées</c:v>
                </c:pt>
              </c:strCache>
            </c:strRef>
          </c:tx>
          <c:invertIfNegative val="0"/>
          <c:cat>
            <c:strRef>
              <c:f>'3_ProcessusAchats'!$E$1:$P$1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'3_ProcessusAchats'!$E$4:$P$4</c:f>
              <c:numCache>
                <c:formatCode>_-* #,##0\ _€_-;\-* #,##0\ _€_-;_-* "-"??\ _€_-;_-@_-</c:formatCode>
                <c:ptCount val="12"/>
                <c:pt idx="0">
                  <c:v>1800</c:v>
                </c:pt>
                <c:pt idx="1">
                  <c:v>1208</c:v>
                </c:pt>
                <c:pt idx="2">
                  <c:v>1423</c:v>
                </c:pt>
                <c:pt idx="3">
                  <c:v>1369</c:v>
                </c:pt>
                <c:pt idx="4">
                  <c:v>1218</c:v>
                </c:pt>
                <c:pt idx="5">
                  <c:v>1900</c:v>
                </c:pt>
                <c:pt idx="6">
                  <c:v>1350</c:v>
                </c:pt>
                <c:pt idx="7">
                  <c:v>1290</c:v>
                </c:pt>
                <c:pt idx="8">
                  <c:v>1393</c:v>
                </c:pt>
                <c:pt idx="9">
                  <c:v>2000</c:v>
                </c:pt>
                <c:pt idx="10">
                  <c:v>1403</c:v>
                </c:pt>
                <c:pt idx="11">
                  <c:v>1262</c:v>
                </c:pt>
              </c:numCache>
            </c:numRef>
          </c:val>
        </c:ser>
        <c:ser>
          <c:idx val="1"/>
          <c:order val="2"/>
          <c:tx>
            <c:strRef>
              <c:f>'3_ProcessusAchats'!$D$5</c:f>
              <c:strCache>
                <c:ptCount val="1"/>
                <c:pt idx="0">
                  <c:v>Nombre de commandes passées (cumulé)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strRef>
              <c:f>'3_ProcessusAchats'!$E$1:$P$1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'3_ProcessusAchats'!$E$5:$P$5</c:f>
              <c:numCache>
                <c:formatCode>_-* #,##0\ _€_-;\-* #,##0\ _€_-;_-* "-"??\ _€_-;_-@_-</c:formatCode>
                <c:ptCount val="12"/>
                <c:pt idx="0">
                  <c:v>1800</c:v>
                </c:pt>
                <c:pt idx="1">
                  <c:v>3008</c:v>
                </c:pt>
                <c:pt idx="2">
                  <c:v>4431</c:v>
                </c:pt>
                <c:pt idx="3">
                  <c:v>5800</c:v>
                </c:pt>
                <c:pt idx="4">
                  <c:v>7018</c:v>
                </c:pt>
                <c:pt idx="5">
                  <c:v>8918</c:v>
                </c:pt>
                <c:pt idx="6">
                  <c:v>10268</c:v>
                </c:pt>
                <c:pt idx="7">
                  <c:v>11558</c:v>
                </c:pt>
                <c:pt idx="8">
                  <c:v>12951</c:v>
                </c:pt>
                <c:pt idx="9">
                  <c:v>14951</c:v>
                </c:pt>
                <c:pt idx="10">
                  <c:v>16354</c:v>
                </c:pt>
                <c:pt idx="11">
                  <c:v>17616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07936"/>
        <c:axId val="143169024"/>
      </c:barChart>
      <c:lineChart>
        <c:grouping val="stacked"/>
        <c:varyColors val="0"/>
        <c:ser>
          <c:idx val="2"/>
          <c:order val="0"/>
          <c:tx>
            <c:strRef>
              <c:f>'3_ProcessusAchats'!$D$7</c:f>
              <c:strCache>
                <c:ptCount val="1"/>
                <c:pt idx="0">
                  <c:v>Montant moyen cumulé d'une commande</c:v>
                </c:pt>
              </c:strCache>
            </c:strRef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diamond"/>
            <c:size val="5"/>
            <c:spPr>
              <a:solidFill>
                <a:schemeClr val="accent4">
                  <a:lumMod val="75000"/>
                </a:schemeClr>
              </a:solidFill>
              <a:ln w="3175"/>
            </c:spPr>
          </c:marker>
          <c:cat>
            <c:strRef>
              <c:f>'3_ProcessusAchats'!$E$1:$P$1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'3_ProcessusAchats'!$E$7:$P$7</c:f>
              <c:numCache>
                <c:formatCode>"€"#,##0.00_);[Red]\("€"#,##0.00\)</c:formatCode>
                <c:ptCount val="12"/>
                <c:pt idx="0">
                  <c:v>10691</c:v>
                </c:pt>
                <c:pt idx="1">
                  <c:v>10165.712765957447</c:v>
                </c:pt>
                <c:pt idx="2">
                  <c:v>9714.594222523132</c:v>
                </c:pt>
                <c:pt idx="3">
                  <c:v>9566.4603448275866</c:v>
                </c:pt>
                <c:pt idx="4">
                  <c:v>9584.0829296095762</c:v>
                </c:pt>
                <c:pt idx="5">
                  <c:v>9409.1493608432393</c:v>
                </c:pt>
                <c:pt idx="6">
                  <c:v>9380.993767043241</c:v>
                </c:pt>
                <c:pt idx="7">
                  <c:v>9611.4711887869871</c:v>
                </c:pt>
                <c:pt idx="8">
                  <c:v>9674.9880318122159</c:v>
                </c:pt>
                <c:pt idx="9">
                  <c:v>9779.8655608320514</c:v>
                </c:pt>
                <c:pt idx="10">
                  <c:v>9844.9054665525255</c:v>
                </c:pt>
                <c:pt idx="11">
                  <c:v>9769.6908492279745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176832"/>
        <c:axId val="143170560"/>
      </c:lineChart>
      <c:catAx>
        <c:axId val="932079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3169024"/>
        <c:crossesAt val="0"/>
        <c:auto val="1"/>
        <c:lblAlgn val="ctr"/>
        <c:lblOffset val="100"/>
        <c:noMultiLvlLbl val="0"/>
      </c:catAx>
      <c:valAx>
        <c:axId val="143169024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207936"/>
        <c:crosses val="autoZero"/>
        <c:crossBetween val="between"/>
      </c:valAx>
      <c:valAx>
        <c:axId val="143170560"/>
        <c:scaling>
          <c:orientation val="minMax"/>
        </c:scaling>
        <c:delete val="0"/>
        <c:axPos val="r"/>
        <c:numFmt formatCode="#,##0_)\K&quot;€&quot;;[Red]\(#,##0\)\K&quot;€&quot;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chemeClr val="accent2">
                    <a:lumMod val="50000"/>
                  </a:schemeClr>
                </a:solidFill>
              </a:defRPr>
            </a:pPr>
            <a:endParaRPr lang="fr-FR"/>
          </a:p>
        </c:txPr>
        <c:crossAx val="143176832"/>
        <c:crosses val="max"/>
        <c:crossBetween val="between"/>
        <c:dispUnits>
          <c:builtInUnit val="thousands"/>
        </c:dispUnits>
      </c:valAx>
      <c:catAx>
        <c:axId val="143176832"/>
        <c:scaling>
          <c:orientation val="minMax"/>
        </c:scaling>
        <c:delete val="1"/>
        <c:axPos val="b"/>
        <c:majorTickMark val="out"/>
        <c:minorTickMark val="none"/>
        <c:tickLblPos val="none"/>
        <c:crossAx val="14317056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6743081017632808"/>
          <c:y val="0.23441851357116392"/>
          <c:w val="0.21639796327433813"/>
          <c:h val="0.70465613424064188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200"/>
              <a:t>Nombre de commandes par montant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'3_ProcessusAchats'!$D$25</c:f>
              <c:strCache>
                <c:ptCount val="1"/>
                <c:pt idx="0">
                  <c:v>Nombre de commandes par seuil (cumulé)</c:v>
                </c:pt>
              </c:strCache>
            </c:strRef>
          </c:tx>
          <c:invertIfNegative val="0"/>
          <c:cat>
            <c:strRef>
              <c:f>'3_ProcessusAchats'!$D$16:$D$24</c:f>
              <c:strCache>
                <c:ptCount val="9"/>
                <c:pt idx="0">
                  <c:v>&lt;50</c:v>
                </c:pt>
                <c:pt idx="1">
                  <c:v>&lt;100</c:v>
                </c:pt>
                <c:pt idx="2">
                  <c:v>&lt;200</c:v>
                </c:pt>
                <c:pt idx="3">
                  <c:v>&lt;500</c:v>
                </c:pt>
                <c:pt idx="4">
                  <c:v>&lt;1k€</c:v>
                </c:pt>
                <c:pt idx="5">
                  <c:v>&lt;5k€</c:v>
                </c:pt>
                <c:pt idx="6">
                  <c:v>&lt;10k€</c:v>
                </c:pt>
                <c:pt idx="7">
                  <c:v>&lt;50k€</c:v>
                </c:pt>
                <c:pt idx="8">
                  <c:v>&gt;= 50k€</c:v>
                </c:pt>
              </c:strCache>
            </c:strRef>
          </c:cat>
          <c:val>
            <c:numRef>
              <c:f>'3_ProcessusAchats'!$W$26:$W$34</c:f>
              <c:numCache>
                <c:formatCode>_-* #,##0\ _€_-;\-* #,##0\ _€_-;_-* "-"??\ _€_-;_-@_-</c:formatCode>
                <c:ptCount val="9"/>
                <c:pt idx="0">
                  <c:v>4417</c:v>
                </c:pt>
                <c:pt idx="1">
                  <c:v>7531</c:v>
                </c:pt>
                <c:pt idx="2">
                  <c:v>9510</c:v>
                </c:pt>
                <c:pt idx="3">
                  <c:v>11094</c:v>
                </c:pt>
                <c:pt idx="4">
                  <c:v>12617</c:v>
                </c:pt>
                <c:pt idx="5">
                  <c:v>13968</c:v>
                </c:pt>
                <c:pt idx="6">
                  <c:v>15384</c:v>
                </c:pt>
                <c:pt idx="7">
                  <c:v>16668</c:v>
                </c:pt>
                <c:pt idx="8">
                  <c:v>17616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00"/>
        <c:axId val="151523328"/>
        <c:axId val="143231232"/>
      </c:barChart>
      <c:lineChart>
        <c:grouping val="standard"/>
        <c:varyColors val="0"/>
        <c:ser>
          <c:idx val="1"/>
          <c:order val="1"/>
          <c:tx>
            <c:strRef>
              <c:f>'3_ProcessusAchats'!$D$35</c:f>
              <c:strCache>
                <c:ptCount val="1"/>
                <c:pt idx="0">
                  <c:v>% de commandes par seuil (cumulé)</c:v>
                </c:pt>
              </c:strCache>
            </c:strRef>
          </c:tx>
          <c:marker>
            <c:symbol val="none"/>
          </c:marker>
          <c:cat>
            <c:strRef>
              <c:f>'3_ProcessusAchats'!$D$16:$D$24</c:f>
              <c:strCache>
                <c:ptCount val="9"/>
                <c:pt idx="0">
                  <c:v>&lt;50</c:v>
                </c:pt>
                <c:pt idx="1">
                  <c:v>&lt;100</c:v>
                </c:pt>
                <c:pt idx="2">
                  <c:v>&lt;200</c:v>
                </c:pt>
                <c:pt idx="3">
                  <c:v>&lt;500</c:v>
                </c:pt>
                <c:pt idx="4">
                  <c:v>&lt;1k€</c:v>
                </c:pt>
                <c:pt idx="5">
                  <c:v>&lt;5k€</c:v>
                </c:pt>
                <c:pt idx="6">
                  <c:v>&lt;10k€</c:v>
                </c:pt>
                <c:pt idx="7">
                  <c:v>&lt;50k€</c:v>
                </c:pt>
                <c:pt idx="8">
                  <c:v>&gt;= 50k€</c:v>
                </c:pt>
              </c:strCache>
            </c:strRef>
          </c:cat>
          <c:val>
            <c:numRef>
              <c:f>'3_ProcessusAchats'!$W$36:$W$44</c:f>
              <c:numCache>
                <c:formatCode>0.00%</c:formatCode>
                <c:ptCount val="9"/>
                <c:pt idx="0">
                  <c:v>0.25073796548592187</c:v>
                </c:pt>
                <c:pt idx="1">
                  <c:v>0.42750908265213444</c:v>
                </c:pt>
                <c:pt idx="2">
                  <c:v>0.53985013623978206</c:v>
                </c:pt>
                <c:pt idx="3">
                  <c:v>0.62976839237057225</c:v>
                </c:pt>
                <c:pt idx="4">
                  <c:v>0.71622388737511355</c:v>
                </c:pt>
                <c:pt idx="5">
                  <c:v>0.79291553133514991</c:v>
                </c:pt>
                <c:pt idx="6">
                  <c:v>0.8732970027247956</c:v>
                </c:pt>
                <c:pt idx="7">
                  <c:v>0.94618528610354224</c:v>
                </c:pt>
                <c:pt idx="8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219712"/>
        <c:axId val="143229696"/>
      </c:lineChart>
      <c:catAx>
        <c:axId val="1432197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3229696"/>
        <c:crosses val="autoZero"/>
        <c:auto val="1"/>
        <c:lblAlgn val="ctr"/>
        <c:lblOffset val="100"/>
        <c:noMultiLvlLbl val="0"/>
      </c:catAx>
      <c:valAx>
        <c:axId val="143229696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3219712"/>
        <c:crosses val="autoZero"/>
        <c:crossBetween val="between"/>
      </c:valAx>
      <c:valAx>
        <c:axId val="143231232"/>
        <c:scaling>
          <c:orientation val="minMax"/>
        </c:scaling>
        <c:delete val="0"/>
        <c:axPos val="r"/>
        <c:numFmt formatCode="_-* #,##0\ _€_-;\-* #,##0\ _€_-;_-* &quot;-&quot;??\ _€_-;_-@_-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1523328"/>
        <c:crosses val="max"/>
        <c:crossBetween val="between"/>
      </c:valAx>
      <c:catAx>
        <c:axId val="151523328"/>
        <c:scaling>
          <c:orientation val="minMax"/>
        </c:scaling>
        <c:delete val="1"/>
        <c:axPos val="b"/>
        <c:majorTickMark val="out"/>
        <c:minorTickMark val="none"/>
        <c:tickLblPos val="none"/>
        <c:crossAx val="143231232"/>
        <c:crosses val="autoZero"/>
        <c:auto val="1"/>
        <c:lblAlgn val="ctr"/>
        <c:lblOffset val="100"/>
        <c:noMultiLvlLbl val="0"/>
      </c:catAx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fr-FR" sz="1200" b="1" i="0" baseline="0">
                <a:effectLst/>
              </a:rPr>
              <a:t>Nombre de commandes par montant</a:t>
            </a:r>
            <a:endParaRPr lang="fr-FR" sz="1200">
              <a:effectLst/>
            </a:endParaRPr>
          </a:p>
        </c:rich>
      </c:tx>
      <c:layout>
        <c:manualLayout>
          <c:xMode val="edge"/>
          <c:yMode val="edge"/>
          <c:x val="0.17681639220708975"/>
          <c:y val="4.4575538646684877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Divers!$H$39</c:f>
              <c:strCache>
                <c:ptCount val="1"/>
                <c:pt idx="0">
                  <c:v>% cumulé</c:v>
                </c:pt>
              </c:strCache>
            </c:strRef>
          </c:tx>
          <c:marker>
            <c:symbol val="diamond"/>
            <c:size val="5"/>
          </c:marker>
          <c:cat>
            <c:strRef>
              <c:f>Divers!$D$40:$D$48</c:f>
              <c:strCache>
                <c:ptCount val="9"/>
                <c:pt idx="0">
                  <c:v>&lt;50</c:v>
                </c:pt>
                <c:pt idx="1">
                  <c:v>&lt;100</c:v>
                </c:pt>
                <c:pt idx="2">
                  <c:v>&lt;200</c:v>
                </c:pt>
                <c:pt idx="3">
                  <c:v>&lt;500</c:v>
                </c:pt>
                <c:pt idx="4">
                  <c:v>&lt;1k€</c:v>
                </c:pt>
                <c:pt idx="5">
                  <c:v>&lt;5k€</c:v>
                </c:pt>
                <c:pt idx="6">
                  <c:v>&lt;10k€</c:v>
                </c:pt>
                <c:pt idx="7">
                  <c:v>&lt;50k€</c:v>
                </c:pt>
                <c:pt idx="8">
                  <c:v>&gt;= 50k€</c:v>
                </c:pt>
              </c:strCache>
            </c:strRef>
          </c:cat>
          <c:val>
            <c:numRef>
              <c:f>Divers!$H$40:$H$48</c:f>
              <c:numCache>
                <c:formatCode>0.00%</c:formatCode>
                <c:ptCount val="9"/>
                <c:pt idx="0">
                  <c:v>0.25073796548592187</c:v>
                </c:pt>
                <c:pt idx="1">
                  <c:v>0.42750908265213439</c:v>
                </c:pt>
                <c:pt idx="2">
                  <c:v>0.53985013623978195</c:v>
                </c:pt>
                <c:pt idx="3">
                  <c:v>0.62976839237057214</c:v>
                </c:pt>
                <c:pt idx="4">
                  <c:v>0.71622388737511344</c:v>
                </c:pt>
                <c:pt idx="5">
                  <c:v>0.7929155313351498</c:v>
                </c:pt>
                <c:pt idx="6">
                  <c:v>0.8732970027247956</c:v>
                </c:pt>
                <c:pt idx="7">
                  <c:v>0.94618528610354224</c:v>
                </c:pt>
                <c:pt idx="8">
                  <c:v>5.3814713896457762E-2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308288"/>
        <c:axId val="99309824"/>
      </c:lineChart>
      <c:catAx>
        <c:axId val="993082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309824"/>
        <c:crosses val="autoZero"/>
        <c:auto val="1"/>
        <c:lblAlgn val="ctr"/>
        <c:lblOffset val="100"/>
        <c:noMultiLvlLbl val="0"/>
      </c:catAx>
      <c:valAx>
        <c:axId val="99309824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30828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 b="1" i="0" baseline="0">
                <a:effectLst/>
              </a:rPr>
              <a:t>Nombre de marchés notifiés</a:t>
            </a:r>
            <a:endParaRPr lang="fr-FR" sz="1200">
              <a:effectLst/>
            </a:endParaRPr>
          </a:p>
          <a:p>
            <a:pPr algn="l">
              <a:defRPr/>
            </a:pPr>
            <a:r>
              <a:rPr lang="fr-FR" sz="1200" b="1" i="0" baseline="0">
                <a:effectLst/>
              </a:rPr>
              <a:t>Montant moyen mensuel  d'un marché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2571741032370952E-2"/>
          <c:y val="0.23145548462366816"/>
          <c:w val="0.57839807524059528"/>
          <c:h val="0.497644633338743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'3_ProcessusAchats'!$D$10</c:f>
              <c:strCache>
                <c:ptCount val="1"/>
                <c:pt idx="0">
                  <c:v>Nombre de marchés notifiés</c:v>
                </c:pt>
              </c:strCache>
            </c:strRef>
          </c:tx>
          <c:invertIfNegative val="0"/>
          <c:cat>
            <c:strRef>
              <c:f>'3_ProcessusAchats'!$E$1:$P$1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'3_ProcessusAchats'!$E$10:$P$10</c:f>
              <c:numCache>
                <c:formatCode>_-* #,##0\ _€_-;\-* #,##0\ _€_-;_-* "-"??\ _€_-;_-@_-</c:formatCode>
                <c:ptCount val="12"/>
                <c:pt idx="0">
                  <c:v>50</c:v>
                </c:pt>
                <c:pt idx="1">
                  <c:v>35</c:v>
                </c:pt>
                <c:pt idx="2">
                  <c:v>41</c:v>
                </c:pt>
                <c:pt idx="3">
                  <c:v>40</c:v>
                </c:pt>
                <c:pt idx="4">
                  <c:v>36</c:v>
                </c:pt>
                <c:pt idx="5">
                  <c:v>56</c:v>
                </c:pt>
                <c:pt idx="6">
                  <c:v>36</c:v>
                </c:pt>
                <c:pt idx="7">
                  <c:v>33</c:v>
                </c:pt>
                <c:pt idx="8">
                  <c:v>38</c:v>
                </c:pt>
                <c:pt idx="9">
                  <c:v>42</c:v>
                </c:pt>
                <c:pt idx="10">
                  <c:v>39</c:v>
                </c:pt>
                <c:pt idx="11">
                  <c:v>55</c:v>
                </c:pt>
              </c:numCache>
            </c:numRef>
          </c:val>
        </c:ser>
        <c:ser>
          <c:idx val="1"/>
          <c:order val="1"/>
          <c:tx>
            <c:strRef>
              <c:f>'3_ProcessusAchats'!$D$11</c:f>
              <c:strCache>
                <c:ptCount val="1"/>
                <c:pt idx="0">
                  <c:v>Nombre de marchés notifiés (cumulé)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'3_ProcessusAchats'!$E$1:$P$1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'3_ProcessusAchats'!$E$11:$P$11</c:f>
              <c:numCache>
                <c:formatCode>_-* #,##0\ _€_-;\-* #,##0\ _€_-;_-* "-"??\ _€_-;_-@_-</c:formatCode>
                <c:ptCount val="12"/>
                <c:pt idx="0">
                  <c:v>50</c:v>
                </c:pt>
                <c:pt idx="1">
                  <c:v>85</c:v>
                </c:pt>
                <c:pt idx="2">
                  <c:v>126</c:v>
                </c:pt>
                <c:pt idx="3">
                  <c:v>166</c:v>
                </c:pt>
                <c:pt idx="4">
                  <c:v>202</c:v>
                </c:pt>
                <c:pt idx="5">
                  <c:v>258</c:v>
                </c:pt>
                <c:pt idx="6">
                  <c:v>294</c:v>
                </c:pt>
                <c:pt idx="7">
                  <c:v>327</c:v>
                </c:pt>
                <c:pt idx="8">
                  <c:v>365</c:v>
                </c:pt>
                <c:pt idx="9">
                  <c:v>407</c:v>
                </c:pt>
                <c:pt idx="10">
                  <c:v>446</c:v>
                </c:pt>
                <c:pt idx="11">
                  <c:v>501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551360"/>
        <c:axId val="151557248"/>
      </c:barChart>
      <c:lineChart>
        <c:grouping val="standard"/>
        <c:varyColors val="0"/>
        <c:ser>
          <c:idx val="2"/>
          <c:order val="2"/>
          <c:tx>
            <c:strRef>
              <c:f>'3_ProcessusAchats'!$D$12</c:f>
              <c:strCache>
                <c:ptCount val="1"/>
                <c:pt idx="0">
                  <c:v>Montant moyen d'un marché (sur le mois)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'3_ProcessusAchats'!$E$1:$P$1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'3_ProcessusAchats'!$E$12:$P$12</c:f>
              <c:numCache>
                <c:formatCode>"€"#,##0.00_);[Red]\("€"#,##0.00\)</c:formatCode>
                <c:ptCount val="12"/>
                <c:pt idx="0">
                  <c:v>8282</c:v>
                </c:pt>
                <c:pt idx="1">
                  <c:v>9827</c:v>
                </c:pt>
                <c:pt idx="2">
                  <c:v>8164</c:v>
                </c:pt>
                <c:pt idx="3">
                  <c:v>10264</c:v>
                </c:pt>
                <c:pt idx="4">
                  <c:v>9852</c:v>
                </c:pt>
                <c:pt idx="5">
                  <c:v>10068</c:v>
                </c:pt>
                <c:pt idx="6">
                  <c:v>10127</c:v>
                </c:pt>
                <c:pt idx="7">
                  <c:v>10284</c:v>
                </c:pt>
                <c:pt idx="8">
                  <c:v>9954</c:v>
                </c:pt>
                <c:pt idx="9">
                  <c:v>8639</c:v>
                </c:pt>
                <c:pt idx="10">
                  <c:v>9248</c:v>
                </c:pt>
                <c:pt idx="11">
                  <c:v>10209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'3_ProcessusAchats'!$D$13</c:f>
              <c:strCache>
                <c:ptCount val="1"/>
                <c:pt idx="0">
                  <c:v>Montant moyen d'un marché (cumulé depuis janvier)</c:v>
                </c:pt>
              </c:strCache>
            </c:strRef>
          </c:tx>
          <c:marker>
            <c:symbol val="none"/>
          </c:marker>
          <c:cat>
            <c:strRef>
              <c:f>'3_ProcessusAchats'!$E$1:$P$1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'3_ProcessusAchats'!$E$13:$P$13</c:f>
              <c:numCache>
                <c:formatCode>"€"#,##0.00_);[Red]\("€"#,##0.00\)</c:formatCode>
                <c:ptCount val="12"/>
                <c:pt idx="0">
                  <c:v>8282</c:v>
                </c:pt>
                <c:pt idx="1">
                  <c:v>9054.5</c:v>
                </c:pt>
                <c:pt idx="2">
                  <c:v>8757.6666666666661</c:v>
                </c:pt>
                <c:pt idx="3">
                  <c:v>9134.25</c:v>
                </c:pt>
                <c:pt idx="4">
                  <c:v>9277.7999999999993</c:v>
                </c:pt>
                <c:pt idx="5">
                  <c:v>9409.5</c:v>
                </c:pt>
                <c:pt idx="6">
                  <c:v>9512</c:v>
                </c:pt>
                <c:pt idx="7">
                  <c:v>9608.5</c:v>
                </c:pt>
                <c:pt idx="8">
                  <c:v>9646.8888888888887</c:v>
                </c:pt>
                <c:pt idx="9">
                  <c:v>9546.1</c:v>
                </c:pt>
                <c:pt idx="10">
                  <c:v>9519</c:v>
                </c:pt>
                <c:pt idx="11">
                  <c:v>9576.5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560960"/>
        <c:axId val="151558784"/>
      </c:lineChart>
      <c:catAx>
        <c:axId val="151551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51557248"/>
        <c:crosses val="autoZero"/>
        <c:auto val="1"/>
        <c:lblAlgn val="ctr"/>
        <c:lblOffset val="100"/>
        <c:noMultiLvlLbl val="0"/>
      </c:catAx>
      <c:valAx>
        <c:axId val="151557248"/>
        <c:scaling>
          <c:orientation val="minMax"/>
        </c:scaling>
        <c:delete val="0"/>
        <c:axPos val="l"/>
        <c:majorGridlines/>
        <c:numFmt formatCode="_-* #,##0\ _€_-;\-* #,##0\ _€_-;_-* &quot;-&quot;??\ _€_-;_-@_-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1551360"/>
        <c:crosses val="autoZero"/>
        <c:crossBetween val="between"/>
      </c:valAx>
      <c:valAx>
        <c:axId val="151558784"/>
        <c:scaling>
          <c:orientation val="minMax"/>
        </c:scaling>
        <c:delete val="0"/>
        <c:axPos val="r"/>
        <c:numFmt formatCode="#,##0_)\K&quot;€&quot;;[Red]\(#,##0\)\K&quot;€&quot;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1560960"/>
        <c:crosses val="max"/>
        <c:crossBetween val="between"/>
        <c:dispUnits>
          <c:builtInUnit val="thousands"/>
        </c:dispUnits>
      </c:valAx>
      <c:catAx>
        <c:axId val="151560960"/>
        <c:scaling>
          <c:orientation val="minMax"/>
        </c:scaling>
        <c:delete val="1"/>
        <c:axPos val="b"/>
        <c:majorTickMark val="out"/>
        <c:minorTickMark val="none"/>
        <c:tickLblPos val="none"/>
        <c:crossAx val="15155878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3777777777777809"/>
          <c:y val="0.17674177543964192"/>
          <c:w val="0.21777777777777779"/>
          <c:h val="0.77937997832981376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1148840769903752"/>
          <c:y val="0.20852205529093504"/>
          <c:w val="0.63542125984251974"/>
          <c:h val="0.6894702891083800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'3_ProcessusAchats'!$I$70</c:f>
              <c:strCache>
                <c:ptCount val="1"/>
                <c:pt idx="0">
                  <c:v>% montant cumulé commandes</c:v>
                </c:pt>
              </c:strCache>
            </c:strRef>
          </c:tx>
          <c:xVal>
            <c:numRef>
              <c:f>'3_ProcessusAchats'!$H$71:$H$141</c:f>
              <c:numCache>
                <c:formatCode>0%</c:formatCode>
                <c:ptCount val="71"/>
                <c:pt idx="0">
                  <c:v>0</c:v>
                </c:pt>
                <c:pt idx="1">
                  <c:v>1.4285714285714285E-2</c:v>
                </c:pt>
                <c:pt idx="2">
                  <c:v>2.8571428571428571E-2</c:v>
                </c:pt>
                <c:pt idx="3">
                  <c:v>4.2857142857142858E-2</c:v>
                </c:pt>
                <c:pt idx="4">
                  <c:v>5.7142857142857141E-2</c:v>
                </c:pt>
                <c:pt idx="5">
                  <c:v>7.1428571428571425E-2</c:v>
                </c:pt>
                <c:pt idx="6">
                  <c:v>8.5714285714285715E-2</c:v>
                </c:pt>
                <c:pt idx="7">
                  <c:v>0.1</c:v>
                </c:pt>
                <c:pt idx="8">
                  <c:v>0.11428571428571428</c:v>
                </c:pt>
                <c:pt idx="9">
                  <c:v>0.12857142857142856</c:v>
                </c:pt>
                <c:pt idx="10">
                  <c:v>0.14285714285714285</c:v>
                </c:pt>
                <c:pt idx="11">
                  <c:v>0.15714285714285714</c:v>
                </c:pt>
                <c:pt idx="12">
                  <c:v>0.17142857142857143</c:v>
                </c:pt>
                <c:pt idx="13">
                  <c:v>0.18571428571428572</c:v>
                </c:pt>
                <c:pt idx="14">
                  <c:v>0.2</c:v>
                </c:pt>
                <c:pt idx="15">
                  <c:v>0.21428571428571427</c:v>
                </c:pt>
                <c:pt idx="16">
                  <c:v>0.22857142857142856</c:v>
                </c:pt>
                <c:pt idx="17">
                  <c:v>0.24285714285714285</c:v>
                </c:pt>
                <c:pt idx="18">
                  <c:v>0.25714285714285712</c:v>
                </c:pt>
                <c:pt idx="19">
                  <c:v>0.27142857142857141</c:v>
                </c:pt>
                <c:pt idx="20">
                  <c:v>0.2857142857142857</c:v>
                </c:pt>
                <c:pt idx="21">
                  <c:v>0.3</c:v>
                </c:pt>
                <c:pt idx="22">
                  <c:v>0.31428571428571428</c:v>
                </c:pt>
                <c:pt idx="23">
                  <c:v>0.32857142857142857</c:v>
                </c:pt>
                <c:pt idx="24">
                  <c:v>0.34285714285714286</c:v>
                </c:pt>
                <c:pt idx="25">
                  <c:v>0.35714285714285715</c:v>
                </c:pt>
                <c:pt idx="26">
                  <c:v>0.37142857142857144</c:v>
                </c:pt>
                <c:pt idx="27">
                  <c:v>0.38571428571428573</c:v>
                </c:pt>
                <c:pt idx="28">
                  <c:v>0.4</c:v>
                </c:pt>
                <c:pt idx="29">
                  <c:v>0.41428571428571431</c:v>
                </c:pt>
                <c:pt idx="30">
                  <c:v>0.42857142857142855</c:v>
                </c:pt>
                <c:pt idx="31">
                  <c:v>0.44285714285714284</c:v>
                </c:pt>
                <c:pt idx="32">
                  <c:v>0.45714285714285713</c:v>
                </c:pt>
                <c:pt idx="33">
                  <c:v>0.47142857142857142</c:v>
                </c:pt>
                <c:pt idx="34">
                  <c:v>0.48571428571428571</c:v>
                </c:pt>
                <c:pt idx="35">
                  <c:v>0.5</c:v>
                </c:pt>
                <c:pt idx="36">
                  <c:v>0.51428571428571423</c:v>
                </c:pt>
                <c:pt idx="37">
                  <c:v>0.52857142857142858</c:v>
                </c:pt>
                <c:pt idx="38">
                  <c:v>0.54285714285714282</c:v>
                </c:pt>
                <c:pt idx="39">
                  <c:v>0.55714285714285716</c:v>
                </c:pt>
                <c:pt idx="40">
                  <c:v>0.5714285714285714</c:v>
                </c:pt>
                <c:pt idx="41">
                  <c:v>0.58571428571428574</c:v>
                </c:pt>
                <c:pt idx="42">
                  <c:v>0.6</c:v>
                </c:pt>
                <c:pt idx="43">
                  <c:v>0.61428571428571432</c:v>
                </c:pt>
                <c:pt idx="44">
                  <c:v>0.62857142857142856</c:v>
                </c:pt>
                <c:pt idx="45">
                  <c:v>0.6428571428571429</c:v>
                </c:pt>
                <c:pt idx="46">
                  <c:v>0.65714285714285714</c:v>
                </c:pt>
                <c:pt idx="47">
                  <c:v>0.67142857142857137</c:v>
                </c:pt>
                <c:pt idx="48">
                  <c:v>0.68571428571428572</c:v>
                </c:pt>
                <c:pt idx="49">
                  <c:v>0.7</c:v>
                </c:pt>
                <c:pt idx="50">
                  <c:v>0.7142857142857143</c:v>
                </c:pt>
                <c:pt idx="51">
                  <c:v>0.72857142857142854</c:v>
                </c:pt>
                <c:pt idx="52">
                  <c:v>0.74285714285714288</c:v>
                </c:pt>
                <c:pt idx="53">
                  <c:v>0.75714285714285712</c:v>
                </c:pt>
                <c:pt idx="54">
                  <c:v>0.77142857142857146</c:v>
                </c:pt>
                <c:pt idx="55">
                  <c:v>0.7857142857142857</c:v>
                </c:pt>
                <c:pt idx="56">
                  <c:v>0.8</c:v>
                </c:pt>
                <c:pt idx="57">
                  <c:v>0.81428571428571428</c:v>
                </c:pt>
                <c:pt idx="58">
                  <c:v>0.82857142857142863</c:v>
                </c:pt>
                <c:pt idx="59">
                  <c:v>0.84285714285714286</c:v>
                </c:pt>
                <c:pt idx="60">
                  <c:v>0.8571428571428571</c:v>
                </c:pt>
                <c:pt idx="61">
                  <c:v>0.87142857142857144</c:v>
                </c:pt>
                <c:pt idx="62">
                  <c:v>0.88571428571428568</c:v>
                </c:pt>
                <c:pt idx="63">
                  <c:v>0.9</c:v>
                </c:pt>
                <c:pt idx="64">
                  <c:v>0.91428571428571426</c:v>
                </c:pt>
                <c:pt idx="65">
                  <c:v>0.9285714285714286</c:v>
                </c:pt>
                <c:pt idx="66">
                  <c:v>0.94285714285714284</c:v>
                </c:pt>
                <c:pt idx="67">
                  <c:v>0.95714285714285718</c:v>
                </c:pt>
                <c:pt idx="68">
                  <c:v>0.97142857142857142</c:v>
                </c:pt>
                <c:pt idx="69">
                  <c:v>0.98571428571428577</c:v>
                </c:pt>
                <c:pt idx="70">
                  <c:v>1</c:v>
                </c:pt>
              </c:numCache>
            </c:numRef>
          </c:xVal>
          <c:yVal>
            <c:numRef>
              <c:f>'3_ProcessusAchats'!$I$71:$I$141</c:f>
              <c:numCache>
                <c:formatCode>0%</c:formatCode>
                <c:ptCount val="71"/>
                <c:pt idx="0">
                  <c:v>0</c:v>
                </c:pt>
                <c:pt idx="1">
                  <c:v>9.678115554764101E-2</c:v>
                </c:pt>
                <c:pt idx="2">
                  <c:v>0.19259449953980562</c:v>
                </c:pt>
                <c:pt idx="3">
                  <c:v>0.28453659731006459</c:v>
                </c:pt>
                <c:pt idx="4">
                  <c:v>0.36680057952555944</c:v>
                </c:pt>
                <c:pt idx="5">
                  <c:v>0.43454738840890811</c:v>
                </c:pt>
                <c:pt idx="6">
                  <c:v>0.4974551395148748</c:v>
                </c:pt>
                <c:pt idx="7">
                  <c:v>0.55068477506607738</c:v>
                </c:pt>
                <c:pt idx="8">
                  <c:v>0.59859144706215961</c:v>
                </c:pt>
                <c:pt idx="9">
                  <c:v>0.64553030750276552</c:v>
                </c:pt>
                <c:pt idx="10">
                  <c:v>0.68908182749920399</c:v>
                </c:pt>
                <c:pt idx="11">
                  <c:v>0.72682647816278401</c:v>
                </c:pt>
                <c:pt idx="12">
                  <c:v>0.75876425949350546</c:v>
                </c:pt>
                <c:pt idx="13">
                  <c:v>0.78973422926875059</c:v>
                </c:pt>
                <c:pt idx="14">
                  <c:v>0.81780076437756655</c:v>
                </c:pt>
                <c:pt idx="15">
                  <c:v>0.8419960532644768</c:v>
                </c:pt>
                <c:pt idx="16">
                  <c:v>0.86232009592948133</c:v>
                </c:pt>
                <c:pt idx="17">
                  <c:v>0.88070851548353313</c:v>
                </c:pt>
                <c:pt idx="18">
                  <c:v>0.89716131192663218</c:v>
                </c:pt>
                <c:pt idx="19">
                  <c:v>0.90877505059234909</c:v>
                </c:pt>
                <c:pt idx="20">
                  <c:v>0.91893707192485141</c:v>
                </c:pt>
                <c:pt idx="21">
                  <c:v>0.92856679690184163</c:v>
                </c:pt>
                <c:pt idx="22">
                  <c:v>0.93718031974558169</c:v>
                </c:pt>
                <c:pt idx="23">
                  <c:v>0.94472924987829765</c:v>
                </c:pt>
                <c:pt idx="24">
                  <c:v>0.95121358729998962</c:v>
                </c:pt>
                <c:pt idx="25">
                  <c:v>0.95653655085510991</c:v>
                </c:pt>
                <c:pt idx="26">
                  <c:v>0.96161756152136102</c:v>
                </c:pt>
                <c:pt idx="27">
                  <c:v>0.96635983814319548</c:v>
                </c:pt>
                <c:pt idx="28">
                  <c:v>0.97071499014283935</c:v>
                </c:pt>
                <c:pt idx="29">
                  <c:v>0.97448945520919728</c:v>
                </c:pt>
                <c:pt idx="30">
                  <c:v>0.97787679565336472</c:v>
                </c:pt>
                <c:pt idx="31">
                  <c:v>0.98073183974202016</c:v>
                </c:pt>
                <c:pt idx="32">
                  <c:v>0.98344171209735409</c:v>
                </c:pt>
                <c:pt idx="33">
                  <c:v>0.98586124098604511</c:v>
                </c:pt>
                <c:pt idx="34">
                  <c:v>0.98760330178590261</c:v>
                </c:pt>
                <c:pt idx="35">
                  <c:v>0.98915180027466487</c:v>
                </c:pt>
                <c:pt idx="36">
                  <c:v>0.99040995529678422</c:v>
                </c:pt>
                <c:pt idx="37">
                  <c:v>0.99142615743003448</c:v>
                </c:pt>
                <c:pt idx="38">
                  <c:v>0.99238429086995616</c:v>
                </c:pt>
                <c:pt idx="39">
                  <c:v>0.99330371184765875</c:v>
                </c:pt>
                <c:pt idx="40">
                  <c:v>0.99412635166981367</c:v>
                </c:pt>
                <c:pt idx="41">
                  <c:v>0.99485221033642102</c:v>
                </c:pt>
                <c:pt idx="42">
                  <c:v>0.99543289726970685</c:v>
                </c:pt>
                <c:pt idx="43">
                  <c:v>0.99596519362521885</c:v>
                </c:pt>
                <c:pt idx="44">
                  <c:v>0.99646845563406661</c:v>
                </c:pt>
                <c:pt idx="45">
                  <c:v>0.99694268329625002</c:v>
                </c:pt>
                <c:pt idx="46">
                  <c:v>0.99737819849621445</c:v>
                </c:pt>
                <c:pt idx="47">
                  <c:v>0.99774596688729544</c:v>
                </c:pt>
                <c:pt idx="48">
                  <c:v>0.99803631035393836</c:v>
                </c:pt>
                <c:pt idx="49">
                  <c:v>0.99830729758947179</c:v>
                </c:pt>
                <c:pt idx="50">
                  <c:v>0.99854925047834087</c:v>
                </c:pt>
                <c:pt idx="51">
                  <c:v>0.99875249090499085</c:v>
                </c:pt>
                <c:pt idx="52">
                  <c:v>0.99894121415830883</c:v>
                </c:pt>
                <c:pt idx="53">
                  <c:v>0.99911542023829458</c:v>
                </c:pt>
                <c:pt idx="54">
                  <c:v>0.99926059197161599</c:v>
                </c:pt>
                <c:pt idx="55">
                  <c:v>0.99938640747382801</c:v>
                </c:pt>
                <c:pt idx="56">
                  <c:v>0.99949286674493032</c:v>
                </c:pt>
                <c:pt idx="57">
                  <c:v>0.99958480884270062</c:v>
                </c:pt>
                <c:pt idx="58">
                  <c:v>0.99967094407113799</c:v>
                </c:pt>
                <c:pt idx="59">
                  <c:v>0.9997435299377988</c:v>
                </c:pt>
                <c:pt idx="60">
                  <c:v>0.99980159863112739</c:v>
                </c:pt>
                <c:pt idx="61">
                  <c:v>0.99985482826667849</c:v>
                </c:pt>
                <c:pt idx="62">
                  <c:v>0.99989837978667495</c:v>
                </c:pt>
                <c:pt idx="63">
                  <c:v>0.9999274141333393</c:v>
                </c:pt>
                <c:pt idx="64">
                  <c:v>0.99995160942222616</c:v>
                </c:pt>
                <c:pt idx="65">
                  <c:v>0.99996612659555828</c:v>
                </c:pt>
                <c:pt idx="66">
                  <c:v>0.99997774033422404</c:v>
                </c:pt>
                <c:pt idx="67">
                  <c:v>0.99998741844977879</c:v>
                </c:pt>
                <c:pt idx="68">
                  <c:v>0.99999419313066717</c:v>
                </c:pt>
                <c:pt idx="69">
                  <c:v>0.99999903218844455</c:v>
                </c:pt>
                <c:pt idx="70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585536"/>
        <c:axId val="151587072"/>
      </c:scatterChart>
      <c:valAx>
        <c:axId val="151585536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crossAx val="151587072"/>
        <c:crosses val="autoZero"/>
        <c:crossBetween val="midCat"/>
      </c:valAx>
      <c:valAx>
        <c:axId val="151587072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15855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684711286089291"/>
          <c:y val="0.34459272663298901"/>
          <c:w val="0.21648622047244107"/>
          <c:h val="0.3985902447002139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 b="1" i="0" baseline="0">
                <a:effectLst/>
              </a:rPr>
              <a:t>% montant cumulé commandes</a:t>
            </a:r>
            <a:endParaRPr lang="fr-FR" sz="12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148840769903752"/>
          <c:y val="0.20852205529093504"/>
          <c:w val="0.63542125984251974"/>
          <c:h val="0.6894702891083800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'3_ProcessusAchats'!$I$70</c:f>
              <c:strCache>
                <c:ptCount val="1"/>
                <c:pt idx="0">
                  <c:v>% montant cumulé commandes</c:v>
                </c:pt>
              </c:strCache>
            </c:strRef>
          </c:tx>
          <c:xVal>
            <c:numRef>
              <c:f>'3_ProcessusAchats'!$H$71:$H$141</c:f>
              <c:numCache>
                <c:formatCode>0%</c:formatCode>
                <c:ptCount val="71"/>
                <c:pt idx="0">
                  <c:v>0</c:v>
                </c:pt>
                <c:pt idx="1">
                  <c:v>1.4285714285714285E-2</c:v>
                </c:pt>
                <c:pt idx="2">
                  <c:v>2.8571428571428571E-2</c:v>
                </c:pt>
                <c:pt idx="3">
                  <c:v>4.2857142857142858E-2</c:v>
                </c:pt>
                <c:pt idx="4">
                  <c:v>5.7142857142857141E-2</c:v>
                </c:pt>
                <c:pt idx="5">
                  <c:v>7.1428571428571425E-2</c:v>
                </c:pt>
                <c:pt idx="6">
                  <c:v>8.5714285714285715E-2</c:v>
                </c:pt>
                <c:pt idx="7">
                  <c:v>0.1</c:v>
                </c:pt>
                <c:pt idx="8">
                  <c:v>0.11428571428571428</c:v>
                </c:pt>
                <c:pt idx="9">
                  <c:v>0.12857142857142856</c:v>
                </c:pt>
                <c:pt idx="10">
                  <c:v>0.14285714285714285</c:v>
                </c:pt>
                <c:pt idx="11">
                  <c:v>0.15714285714285714</c:v>
                </c:pt>
                <c:pt idx="12">
                  <c:v>0.17142857142857143</c:v>
                </c:pt>
                <c:pt idx="13">
                  <c:v>0.18571428571428572</c:v>
                </c:pt>
                <c:pt idx="14">
                  <c:v>0.2</c:v>
                </c:pt>
                <c:pt idx="15">
                  <c:v>0.21428571428571427</c:v>
                </c:pt>
                <c:pt idx="16">
                  <c:v>0.22857142857142856</c:v>
                </c:pt>
                <c:pt idx="17">
                  <c:v>0.24285714285714285</c:v>
                </c:pt>
                <c:pt idx="18">
                  <c:v>0.25714285714285712</c:v>
                </c:pt>
                <c:pt idx="19">
                  <c:v>0.27142857142857141</c:v>
                </c:pt>
                <c:pt idx="20">
                  <c:v>0.2857142857142857</c:v>
                </c:pt>
                <c:pt idx="21">
                  <c:v>0.3</c:v>
                </c:pt>
                <c:pt idx="22">
                  <c:v>0.31428571428571428</c:v>
                </c:pt>
                <c:pt idx="23">
                  <c:v>0.32857142857142857</c:v>
                </c:pt>
                <c:pt idx="24">
                  <c:v>0.34285714285714286</c:v>
                </c:pt>
                <c:pt idx="25">
                  <c:v>0.35714285714285715</c:v>
                </c:pt>
                <c:pt idx="26">
                  <c:v>0.37142857142857144</c:v>
                </c:pt>
                <c:pt idx="27">
                  <c:v>0.38571428571428573</c:v>
                </c:pt>
                <c:pt idx="28">
                  <c:v>0.4</c:v>
                </c:pt>
                <c:pt idx="29">
                  <c:v>0.41428571428571431</c:v>
                </c:pt>
                <c:pt idx="30">
                  <c:v>0.42857142857142855</c:v>
                </c:pt>
                <c:pt idx="31">
                  <c:v>0.44285714285714284</c:v>
                </c:pt>
                <c:pt idx="32">
                  <c:v>0.45714285714285713</c:v>
                </c:pt>
                <c:pt idx="33">
                  <c:v>0.47142857142857142</c:v>
                </c:pt>
                <c:pt idx="34">
                  <c:v>0.48571428571428571</c:v>
                </c:pt>
                <c:pt idx="35">
                  <c:v>0.5</c:v>
                </c:pt>
                <c:pt idx="36">
                  <c:v>0.51428571428571423</c:v>
                </c:pt>
                <c:pt idx="37">
                  <c:v>0.52857142857142858</c:v>
                </c:pt>
                <c:pt idx="38">
                  <c:v>0.54285714285714282</c:v>
                </c:pt>
                <c:pt idx="39">
                  <c:v>0.55714285714285716</c:v>
                </c:pt>
                <c:pt idx="40">
                  <c:v>0.5714285714285714</c:v>
                </c:pt>
                <c:pt idx="41">
                  <c:v>0.58571428571428574</c:v>
                </c:pt>
                <c:pt idx="42">
                  <c:v>0.6</c:v>
                </c:pt>
                <c:pt idx="43">
                  <c:v>0.61428571428571432</c:v>
                </c:pt>
                <c:pt idx="44">
                  <c:v>0.62857142857142856</c:v>
                </c:pt>
                <c:pt idx="45">
                  <c:v>0.6428571428571429</c:v>
                </c:pt>
                <c:pt idx="46">
                  <c:v>0.65714285714285714</c:v>
                </c:pt>
                <c:pt idx="47">
                  <c:v>0.67142857142857137</c:v>
                </c:pt>
                <c:pt idx="48">
                  <c:v>0.68571428571428572</c:v>
                </c:pt>
                <c:pt idx="49">
                  <c:v>0.7</c:v>
                </c:pt>
                <c:pt idx="50">
                  <c:v>0.7142857142857143</c:v>
                </c:pt>
                <c:pt idx="51">
                  <c:v>0.72857142857142854</c:v>
                </c:pt>
                <c:pt idx="52">
                  <c:v>0.74285714285714288</c:v>
                </c:pt>
                <c:pt idx="53">
                  <c:v>0.75714285714285712</c:v>
                </c:pt>
                <c:pt idx="54">
                  <c:v>0.77142857142857146</c:v>
                </c:pt>
                <c:pt idx="55">
                  <c:v>0.7857142857142857</c:v>
                </c:pt>
                <c:pt idx="56">
                  <c:v>0.8</c:v>
                </c:pt>
                <c:pt idx="57">
                  <c:v>0.81428571428571428</c:v>
                </c:pt>
                <c:pt idx="58">
                  <c:v>0.82857142857142863</c:v>
                </c:pt>
                <c:pt idx="59">
                  <c:v>0.84285714285714286</c:v>
                </c:pt>
                <c:pt idx="60">
                  <c:v>0.8571428571428571</c:v>
                </c:pt>
                <c:pt idx="61">
                  <c:v>0.87142857142857144</c:v>
                </c:pt>
                <c:pt idx="62">
                  <c:v>0.88571428571428568</c:v>
                </c:pt>
                <c:pt idx="63">
                  <c:v>0.9</c:v>
                </c:pt>
                <c:pt idx="64">
                  <c:v>0.91428571428571426</c:v>
                </c:pt>
                <c:pt idx="65">
                  <c:v>0.9285714285714286</c:v>
                </c:pt>
                <c:pt idx="66">
                  <c:v>0.94285714285714284</c:v>
                </c:pt>
                <c:pt idx="67">
                  <c:v>0.95714285714285718</c:v>
                </c:pt>
                <c:pt idx="68">
                  <c:v>0.97142857142857142</c:v>
                </c:pt>
                <c:pt idx="69">
                  <c:v>0.98571428571428577</c:v>
                </c:pt>
                <c:pt idx="70">
                  <c:v>1</c:v>
                </c:pt>
              </c:numCache>
            </c:numRef>
          </c:xVal>
          <c:yVal>
            <c:numRef>
              <c:f>'3_ProcessusAchats'!$I$71:$I$141</c:f>
              <c:numCache>
                <c:formatCode>0%</c:formatCode>
                <c:ptCount val="71"/>
                <c:pt idx="0">
                  <c:v>0</c:v>
                </c:pt>
                <c:pt idx="1">
                  <c:v>9.678115554764101E-2</c:v>
                </c:pt>
                <c:pt idx="2">
                  <c:v>0.19259449953980562</c:v>
                </c:pt>
                <c:pt idx="3">
                  <c:v>0.28453659731006459</c:v>
                </c:pt>
                <c:pt idx="4">
                  <c:v>0.36680057952555944</c:v>
                </c:pt>
                <c:pt idx="5">
                  <c:v>0.43454738840890811</c:v>
                </c:pt>
                <c:pt idx="6">
                  <c:v>0.4974551395148748</c:v>
                </c:pt>
                <c:pt idx="7">
                  <c:v>0.55068477506607738</c:v>
                </c:pt>
                <c:pt idx="8">
                  <c:v>0.59859144706215961</c:v>
                </c:pt>
                <c:pt idx="9">
                  <c:v>0.64553030750276552</c:v>
                </c:pt>
                <c:pt idx="10">
                  <c:v>0.68908182749920399</c:v>
                </c:pt>
                <c:pt idx="11">
                  <c:v>0.72682647816278401</c:v>
                </c:pt>
                <c:pt idx="12">
                  <c:v>0.75876425949350546</c:v>
                </c:pt>
                <c:pt idx="13">
                  <c:v>0.78973422926875059</c:v>
                </c:pt>
                <c:pt idx="14">
                  <c:v>0.81780076437756655</c:v>
                </c:pt>
                <c:pt idx="15">
                  <c:v>0.8419960532644768</c:v>
                </c:pt>
                <c:pt idx="16">
                  <c:v>0.86232009592948133</c:v>
                </c:pt>
                <c:pt idx="17">
                  <c:v>0.88070851548353313</c:v>
                </c:pt>
                <c:pt idx="18">
                  <c:v>0.89716131192663218</c:v>
                </c:pt>
                <c:pt idx="19">
                  <c:v>0.90877505059234909</c:v>
                </c:pt>
                <c:pt idx="20">
                  <c:v>0.91893707192485141</c:v>
                </c:pt>
                <c:pt idx="21">
                  <c:v>0.92856679690184163</c:v>
                </c:pt>
                <c:pt idx="22">
                  <c:v>0.93718031974558169</c:v>
                </c:pt>
                <c:pt idx="23">
                  <c:v>0.94472924987829765</c:v>
                </c:pt>
                <c:pt idx="24">
                  <c:v>0.95121358729998962</c:v>
                </c:pt>
                <c:pt idx="25">
                  <c:v>0.95653655085510991</c:v>
                </c:pt>
                <c:pt idx="26">
                  <c:v>0.96161756152136102</c:v>
                </c:pt>
                <c:pt idx="27">
                  <c:v>0.96635983814319548</c:v>
                </c:pt>
                <c:pt idx="28">
                  <c:v>0.97071499014283935</c:v>
                </c:pt>
                <c:pt idx="29">
                  <c:v>0.97448945520919728</c:v>
                </c:pt>
                <c:pt idx="30">
                  <c:v>0.97787679565336472</c:v>
                </c:pt>
                <c:pt idx="31">
                  <c:v>0.98073183974202016</c:v>
                </c:pt>
                <c:pt idx="32">
                  <c:v>0.98344171209735409</c:v>
                </c:pt>
                <c:pt idx="33">
                  <c:v>0.98586124098604511</c:v>
                </c:pt>
                <c:pt idx="34">
                  <c:v>0.98760330178590261</c:v>
                </c:pt>
                <c:pt idx="35">
                  <c:v>0.98915180027466487</c:v>
                </c:pt>
                <c:pt idx="36">
                  <c:v>0.99040995529678422</c:v>
                </c:pt>
                <c:pt idx="37">
                  <c:v>0.99142615743003448</c:v>
                </c:pt>
                <c:pt idx="38">
                  <c:v>0.99238429086995616</c:v>
                </c:pt>
                <c:pt idx="39">
                  <c:v>0.99330371184765875</c:v>
                </c:pt>
                <c:pt idx="40">
                  <c:v>0.99412635166981367</c:v>
                </c:pt>
                <c:pt idx="41">
                  <c:v>0.99485221033642102</c:v>
                </c:pt>
                <c:pt idx="42">
                  <c:v>0.99543289726970685</c:v>
                </c:pt>
                <c:pt idx="43">
                  <c:v>0.99596519362521885</c:v>
                </c:pt>
                <c:pt idx="44">
                  <c:v>0.99646845563406661</c:v>
                </c:pt>
                <c:pt idx="45">
                  <c:v>0.99694268329625002</c:v>
                </c:pt>
                <c:pt idx="46">
                  <c:v>0.99737819849621445</c:v>
                </c:pt>
                <c:pt idx="47">
                  <c:v>0.99774596688729544</c:v>
                </c:pt>
                <c:pt idx="48">
                  <c:v>0.99803631035393836</c:v>
                </c:pt>
                <c:pt idx="49">
                  <c:v>0.99830729758947179</c:v>
                </c:pt>
                <c:pt idx="50">
                  <c:v>0.99854925047834087</c:v>
                </c:pt>
                <c:pt idx="51">
                  <c:v>0.99875249090499085</c:v>
                </c:pt>
                <c:pt idx="52">
                  <c:v>0.99894121415830883</c:v>
                </c:pt>
                <c:pt idx="53">
                  <c:v>0.99911542023829458</c:v>
                </c:pt>
                <c:pt idx="54">
                  <c:v>0.99926059197161599</c:v>
                </c:pt>
                <c:pt idx="55">
                  <c:v>0.99938640747382801</c:v>
                </c:pt>
                <c:pt idx="56">
                  <c:v>0.99949286674493032</c:v>
                </c:pt>
                <c:pt idx="57">
                  <c:v>0.99958480884270062</c:v>
                </c:pt>
                <c:pt idx="58">
                  <c:v>0.99967094407113799</c:v>
                </c:pt>
                <c:pt idx="59">
                  <c:v>0.9997435299377988</c:v>
                </c:pt>
                <c:pt idx="60">
                  <c:v>0.99980159863112739</c:v>
                </c:pt>
                <c:pt idx="61">
                  <c:v>0.99985482826667849</c:v>
                </c:pt>
                <c:pt idx="62">
                  <c:v>0.99989837978667495</c:v>
                </c:pt>
                <c:pt idx="63">
                  <c:v>0.9999274141333393</c:v>
                </c:pt>
                <c:pt idx="64">
                  <c:v>0.99995160942222616</c:v>
                </c:pt>
                <c:pt idx="65">
                  <c:v>0.99996612659555828</c:v>
                </c:pt>
                <c:pt idx="66">
                  <c:v>0.99997774033422404</c:v>
                </c:pt>
                <c:pt idx="67">
                  <c:v>0.99998741844977879</c:v>
                </c:pt>
                <c:pt idx="68">
                  <c:v>0.99999419313066717</c:v>
                </c:pt>
                <c:pt idx="69">
                  <c:v>0.99999903218844455</c:v>
                </c:pt>
                <c:pt idx="70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19840"/>
        <c:axId val="151625728"/>
      </c:scatterChart>
      <c:valAx>
        <c:axId val="151619840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crossAx val="151625728"/>
        <c:crosses val="autoZero"/>
        <c:crossBetween val="midCat"/>
      </c:valAx>
      <c:valAx>
        <c:axId val="151625728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16198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684711286089291"/>
          <c:y val="0.34459272663298901"/>
          <c:w val="0.23315292928877743"/>
          <c:h val="6.653883496411471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'4_Mutualisation'!$D$2</c:f>
              <c:strCache>
                <c:ptCount val="1"/>
                <c:pt idx="0">
                  <c:v>Taux de mutualisation en valeur (€) : taux de recours à des marchés mutualisés (via un opérateur tiers au GHT)</c:v>
                </c:pt>
              </c:strCache>
            </c:strRef>
          </c:tx>
          <c:invertIfNegative val="0"/>
          <c:cat>
            <c:numRef>
              <c:f>'4_Mutualisation'!$E$1:$I$1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'4_Mutualisation'!$E$2:$I$2</c:f>
              <c:numCache>
                <c:formatCode>0.00%</c:formatCode>
                <c:ptCount val="5"/>
                <c:pt idx="0">
                  <c:v>0.35357142857142854</c:v>
                </c:pt>
                <c:pt idx="1">
                  <c:v>0.23571428571428571</c:v>
                </c:pt>
                <c:pt idx="2">
                  <c:v>0.47142857142857142</c:v>
                </c:pt>
                <c:pt idx="3">
                  <c:v>0.31428571428571428</c:v>
                </c:pt>
                <c:pt idx="4">
                  <c:v>0.55000000000000004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659648"/>
        <c:axId val="151661184"/>
      </c:barChart>
      <c:catAx>
        <c:axId val="15165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661184"/>
        <c:crosses val="autoZero"/>
        <c:auto val="1"/>
        <c:lblAlgn val="ctr"/>
        <c:lblOffset val="100"/>
        <c:noMultiLvlLbl val="0"/>
      </c:catAx>
      <c:valAx>
        <c:axId val="15166118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51659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'4_Mutualisation'!$D$3</c:f>
              <c:strCache>
                <c:ptCount val="1"/>
                <c:pt idx="0">
                  <c:v>Taux de mutualisation nationale en valeur (€)</c:v>
                </c:pt>
              </c:strCache>
            </c:strRef>
          </c:tx>
          <c:invertIfNegative val="0"/>
          <c:cat>
            <c:numRef>
              <c:f>'4_Mutualisation'!$E$1:$I$1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'4_Mutualisation'!$E$3:$I$3</c:f>
              <c:numCache>
                <c:formatCode>0.00%</c:formatCode>
                <c:ptCount val="5"/>
                <c:pt idx="0">
                  <c:v>0.16455214285714284</c:v>
                </c:pt>
                <c:pt idx="1">
                  <c:v>0.10970142857142856</c:v>
                </c:pt>
                <c:pt idx="2">
                  <c:v>0.21940285714285712</c:v>
                </c:pt>
                <c:pt idx="3">
                  <c:v>0.14626857142857141</c:v>
                </c:pt>
                <c:pt idx="4">
                  <c:v>0.25597000000000003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677568"/>
        <c:axId val="151691648"/>
      </c:barChart>
      <c:catAx>
        <c:axId val="1516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691648"/>
        <c:crosses val="autoZero"/>
        <c:auto val="1"/>
        <c:lblAlgn val="ctr"/>
        <c:lblOffset val="100"/>
        <c:noMultiLvlLbl val="0"/>
      </c:catAx>
      <c:valAx>
        <c:axId val="15169164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516775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'4_Mutualisation'!$D$4</c:f>
              <c:strCache>
                <c:ptCount val="1"/>
                <c:pt idx="0">
                  <c:v>Taux de mutualisation régionale en valeur (€)</c:v>
                </c:pt>
              </c:strCache>
            </c:strRef>
          </c:tx>
          <c:invertIfNegative val="0"/>
          <c:cat>
            <c:numRef>
              <c:f>'4_Mutualisation'!$E$1:$I$1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'4_Mutualisation'!$E$4:$I$4</c:f>
              <c:numCache>
                <c:formatCode>0.00%</c:formatCode>
                <c:ptCount val="5"/>
                <c:pt idx="0">
                  <c:v>0.24462548274285711</c:v>
                </c:pt>
                <c:pt idx="1">
                  <c:v>0.19130145782857139</c:v>
                </c:pt>
                <c:pt idx="2">
                  <c:v>0.29794950765714279</c:v>
                </c:pt>
                <c:pt idx="3">
                  <c:v>0.22685080777142855</c:v>
                </c:pt>
                <c:pt idx="4">
                  <c:v>0.33349885759999998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08032"/>
        <c:axId val="151709568"/>
      </c:barChart>
      <c:catAx>
        <c:axId val="15170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709568"/>
        <c:crosses val="autoZero"/>
        <c:auto val="1"/>
        <c:lblAlgn val="ctr"/>
        <c:lblOffset val="100"/>
        <c:noMultiLvlLbl val="0"/>
      </c:catAx>
      <c:valAx>
        <c:axId val="15170956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51708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Taux de mutualisation régionale et nationale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2"/>
          <c:order val="0"/>
          <c:tx>
            <c:strRef>
              <c:f>'4_Mutualisation'!$D$4</c:f>
              <c:strCache>
                <c:ptCount val="1"/>
                <c:pt idx="0">
                  <c:v>Taux de mutualisation régionale en valeur (€)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numRef>
              <c:f>'4_Mutualisation'!$E$1:$I$1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'4_Mutualisation'!$E$4:$I$4</c:f>
              <c:numCache>
                <c:formatCode>0.00%</c:formatCode>
                <c:ptCount val="5"/>
                <c:pt idx="0">
                  <c:v>0.24462548274285711</c:v>
                </c:pt>
                <c:pt idx="1">
                  <c:v>0.19130145782857139</c:v>
                </c:pt>
                <c:pt idx="2">
                  <c:v>0.29794950765714279</c:v>
                </c:pt>
                <c:pt idx="3">
                  <c:v>0.22685080777142855</c:v>
                </c:pt>
                <c:pt idx="4">
                  <c:v>0.33349885759999998</c:v>
                </c:pt>
              </c:numCache>
            </c:numRef>
          </c:val>
        </c:ser>
        <c:ser>
          <c:idx val="1"/>
          <c:order val="1"/>
          <c:tx>
            <c:strRef>
              <c:f>'4_Mutualisation'!$D$3</c:f>
              <c:strCache>
                <c:ptCount val="1"/>
                <c:pt idx="0">
                  <c:v>Taux de mutualisation nationale en valeur (€)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numRef>
              <c:f>'4_Mutualisation'!$E$1:$I$1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'4_Mutualisation'!$E$3:$I$3</c:f>
              <c:numCache>
                <c:formatCode>0.00%</c:formatCode>
                <c:ptCount val="5"/>
                <c:pt idx="0">
                  <c:v>0.16455214285714284</c:v>
                </c:pt>
                <c:pt idx="1">
                  <c:v>0.10970142857142856</c:v>
                </c:pt>
                <c:pt idx="2">
                  <c:v>0.21940285714285712</c:v>
                </c:pt>
                <c:pt idx="3">
                  <c:v>0.14626857142857141</c:v>
                </c:pt>
                <c:pt idx="4">
                  <c:v>0.25597000000000003</c:v>
                </c:pt>
              </c:numCache>
            </c:numRef>
          </c:val>
        </c:ser>
        <c:ser>
          <c:idx val="0"/>
          <c:order val="2"/>
          <c:tx>
            <c:strRef>
              <c:f>'4_Mutualisation'!$D$6</c:f>
              <c:strCache>
                <c:ptCount val="1"/>
                <c:pt idx="0">
                  <c:v>Taux de mutualisation régionale et nationale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</c:spPr>
          <c:invertIfNegative val="0"/>
          <c:val>
            <c:numRef>
              <c:f>'4_Mutualisation'!$E$6:$I$6</c:f>
              <c:numCache>
                <c:formatCode>0.00%</c:formatCode>
                <c:ptCount val="5"/>
                <c:pt idx="0">
                  <c:v>0.40917762559999993</c:v>
                </c:pt>
                <c:pt idx="1">
                  <c:v>0.30100288639999995</c:v>
                </c:pt>
                <c:pt idx="2">
                  <c:v>0.51735236479999991</c:v>
                </c:pt>
                <c:pt idx="3">
                  <c:v>0.37311937919999993</c:v>
                </c:pt>
                <c:pt idx="4">
                  <c:v>0.58946885760000001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1494656"/>
        <c:axId val="151496192"/>
        <c:axId val="0"/>
      </c:bar3DChart>
      <c:catAx>
        <c:axId val="15149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496192"/>
        <c:crosses val="autoZero"/>
        <c:auto val="1"/>
        <c:lblAlgn val="ctr"/>
        <c:lblOffset val="100"/>
        <c:noMultiLvlLbl val="0"/>
      </c:catAx>
      <c:valAx>
        <c:axId val="15149619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51494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'5_RH'!$D$2</c:f>
              <c:strCache>
                <c:ptCount val="1"/>
                <c:pt idx="0">
                  <c:v>Nombre de lignes de commandes/Gestionnaire de commande</c:v>
                </c:pt>
              </c:strCache>
            </c:strRef>
          </c:tx>
          <c:invertIfNegative val="0"/>
          <c:cat>
            <c:numRef>
              <c:f>'5_RH'!$E$1:$I$1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'5_RH'!$E$2:$I$2</c:f>
              <c:numCache>
                <c:formatCode>General</c:formatCode>
                <c:ptCount val="5"/>
                <c:pt idx="0">
                  <c:v>9</c:v>
                </c:pt>
                <c:pt idx="1">
                  <c:v>6</c:v>
                </c:pt>
                <c:pt idx="2">
                  <c:v>12</c:v>
                </c:pt>
                <c:pt idx="3">
                  <c:v>8</c:v>
                </c:pt>
                <c:pt idx="4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517440"/>
        <c:axId val="141012992"/>
      </c:barChart>
      <c:catAx>
        <c:axId val="15151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012992"/>
        <c:crosses val="autoZero"/>
        <c:auto val="1"/>
        <c:lblAlgn val="ctr"/>
        <c:lblOffset val="100"/>
        <c:noMultiLvlLbl val="0"/>
      </c:catAx>
      <c:valAx>
        <c:axId val="141012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1517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'5_RH'!$D$3</c:f>
              <c:strCache>
                <c:ptCount val="1"/>
                <c:pt idx="0">
                  <c:v>Nombre de lignes de liquidation/Gestionnaire de liquidation</c:v>
                </c:pt>
              </c:strCache>
            </c:strRef>
          </c:tx>
          <c:invertIfNegative val="0"/>
          <c:cat>
            <c:numRef>
              <c:f>'5_RH'!$E$1:$I$1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'5_RH'!$E$3:$I$3</c:f>
              <c:numCache>
                <c:formatCode>General</c:formatCode>
                <c:ptCount val="5"/>
                <c:pt idx="0">
                  <c:v>25</c:v>
                </c:pt>
                <c:pt idx="1">
                  <c:v>20</c:v>
                </c:pt>
                <c:pt idx="2">
                  <c:v>37</c:v>
                </c:pt>
                <c:pt idx="3">
                  <c:v>21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186880"/>
        <c:axId val="152188416"/>
      </c:barChart>
      <c:catAx>
        <c:axId val="15218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188416"/>
        <c:crosses val="autoZero"/>
        <c:auto val="1"/>
        <c:lblAlgn val="ctr"/>
        <c:lblOffset val="100"/>
        <c:noMultiLvlLbl val="0"/>
      </c:catAx>
      <c:valAx>
        <c:axId val="152188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186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'5_RH'!$D$4</c:f>
              <c:strCache>
                <c:ptCount val="1"/>
                <c:pt idx="0">
                  <c:v>Nombre de marchés/Acheteur</c:v>
                </c:pt>
              </c:strCache>
            </c:strRef>
          </c:tx>
          <c:invertIfNegative val="0"/>
          <c:cat>
            <c:numRef>
              <c:f>'5_RH'!$E$1:$I$1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'5_RH'!$E$4:$I$4</c:f>
              <c:numCache>
                <c:formatCode>General</c:formatCode>
                <c:ptCount val="5"/>
                <c:pt idx="0">
                  <c:v>21</c:v>
                </c:pt>
                <c:pt idx="1">
                  <c:v>16</c:v>
                </c:pt>
                <c:pt idx="2">
                  <c:v>33</c:v>
                </c:pt>
                <c:pt idx="3">
                  <c:v>17</c:v>
                </c:pt>
                <c:pt idx="4">
                  <c:v>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204800"/>
        <c:axId val="152206336"/>
      </c:barChart>
      <c:catAx>
        <c:axId val="15220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206336"/>
        <c:crosses val="autoZero"/>
        <c:auto val="1"/>
        <c:lblAlgn val="ctr"/>
        <c:lblOffset val="100"/>
        <c:noMultiLvlLbl val="0"/>
      </c:catAx>
      <c:valAx>
        <c:axId val="152206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204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fr-FR" sz="1200" b="1" i="0" baseline="0">
                <a:effectLst/>
              </a:rPr>
              <a:t>Nombre de commandes par montant</a:t>
            </a:r>
            <a:endParaRPr lang="fr-FR" sz="1200">
              <a:effectLst/>
            </a:endParaRPr>
          </a:p>
        </c:rich>
      </c:tx>
      <c:layout>
        <c:manualLayout>
          <c:xMode val="edge"/>
          <c:yMode val="edge"/>
          <c:x val="0.17681639220708975"/>
          <c:y val="4.457553864668487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Divers!$E$39</c:f>
              <c:strCache>
                <c:ptCount val="1"/>
                <c:pt idx="0">
                  <c:v>Nb de commandes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solidFill>
                      <a:schemeClr val="accent4">
                        <a:lumMod val="50000"/>
                      </a:schemeClr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Divers!$D$40:$D$48</c:f>
              <c:strCache>
                <c:ptCount val="9"/>
                <c:pt idx="0">
                  <c:v>&lt;50</c:v>
                </c:pt>
                <c:pt idx="1">
                  <c:v>&lt;100</c:v>
                </c:pt>
                <c:pt idx="2">
                  <c:v>&lt;200</c:v>
                </c:pt>
                <c:pt idx="3">
                  <c:v>&lt;500</c:v>
                </c:pt>
                <c:pt idx="4">
                  <c:v>&lt;1k€</c:v>
                </c:pt>
                <c:pt idx="5">
                  <c:v>&lt;5k€</c:v>
                </c:pt>
                <c:pt idx="6">
                  <c:v>&lt;10k€</c:v>
                </c:pt>
                <c:pt idx="7">
                  <c:v>&lt;50k€</c:v>
                </c:pt>
                <c:pt idx="8">
                  <c:v>&gt;= 50k€</c:v>
                </c:pt>
              </c:strCache>
            </c:strRef>
          </c:cat>
          <c:val>
            <c:numRef>
              <c:f>Divers!$E$40:$E$48</c:f>
              <c:numCache>
                <c:formatCode>_-* #,##0\ _€_-;\-* #,##0\ _€_-;_-* "-"??\ _€_-;_-@_-</c:formatCode>
                <c:ptCount val="9"/>
                <c:pt idx="0">
                  <c:v>4417</c:v>
                </c:pt>
                <c:pt idx="1">
                  <c:v>3114</c:v>
                </c:pt>
                <c:pt idx="2">
                  <c:v>1979</c:v>
                </c:pt>
                <c:pt idx="3">
                  <c:v>1584</c:v>
                </c:pt>
                <c:pt idx="4">
                  <c:v>1523</c:v>
                </c:pt>
                <c:pt idx="5">
                  <c:v>1351</c:v>
                </c:pt>
                <c:pt idx="6">
                  <c:v>1416</c:v>
                </c:pt>
                <c:pt idx="7">
                  <c:v>1284</c:v>
                </c:pt>
                <c:pt idx="8">
                  <c:v>948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"/>
        <c:axId val="99428224"/>
        <c:axId val="99426688"/>
      </c:barChart>
      <c:lineChart>
        <c:grouping val="standard"/>
        <c:varyColors val="0"/>
        <c:ser>
          <c:idx val="0"/>
          <c:order val="0"/>
          <c:tx>
            <c:strRef>
              <c:f>Divers!$H$39</c:f>
              <c:strCache>
                <c:ptCount val="1"/>
                <c:pt idx="0">
                  <c:v>% cumulé</c:v>
                </c:pt>
              </c:strCache>
            </c:strRef>
          </c:tx>
          <c:marker>
            <c:symbol val="diamond"/>
            <c:size val="5"/>
          </c:marker>
          <c:dLbls>
            <c:numFmt formatCode="0%" sourceLinked="0"/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Divers!$D$40:$D$48</c:f>
              <c:strCache>
                <c:ptCount val="9"/>
                <c:pt idx="0">
                  <c:v>&lt;50</c:v>
                </c:pt>
                <c:pt idx="1">
                  <c:v>&lt;100</c:v>
                </c:pt>
                <c:pt idx="2">
                  <c:v>&lt;200</c:v>
                </c:pt>
                <c:pt idx="3">
                  <c:v>&lt;500</c:v>
                </c:pt>
                <c:pt idx="4">
                  <c:v>&lt;1k€</c:v>
                </c:pt>
                <c:pt idx="5">
                  <c:v>&lt;5k€</c:v>
                </c:pt>
                <c:pt idx="6">
                  <c:v>&lt;10k€</c:v>
                </c:pt>
                <c:pt idx="7">
                  <c:v>&lt;50k€</c:v>
                </c:pt>
                <c:pt idx="8">
                  <c:v>&gt;= 50k€</c:v>
                </c:pt>
              </c:strCache>
            </c:strRef>
          </c:cat>
          <c:val>
            <c:numRef>
              <c:f>Divers!$H$40:$H$48</c:f>
              <c:numCache>
                <c:formatCode>0.00%</c:formatCode>
                <c:ptCount val="9"/>
                <c:pt idx="0">
                  <c:v>0.25073796548592187</c:v>
                </c:pt>
                <c:pt idx="1">
                  <c:v>0.42750908265213439</c:v>
                </c:pt>
                <c:pt idx="2">
                  <c:v>0.53985013623978195</c:v>
                </c:pt>
                <c:pt idx="3">
                  <c:v>0.62976839237057214</c:v>
                </c:pt>
                <c:pt idx="4">
                  <c:v>0.71622388737511344</c:v>
                </c:pt>
                <c:pt idx="5">
                  <c:v>0.7929155313351498</c:v>
                </c:pt>
                <c:pt idx="6">
                  <c:v>0.8732970027247956</c:v>
                </c:pt>
                <c:pt idx="7">
                  <c:v>0.94618528610354224</c:v>
                </c:pt>
                <c:pt idx="8">
                  <c:v>5.3814713896457762E-2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19264"/>
        <c:axId val="99420800"/>
      </c:lineChart>
      <c:catAx>
        <c:axId val="9941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420800"/>
        <c:crosses val="autoZero"/>
        <c:auto val="1"/>
        <c:lblAlgn val="ctr"/>
        <c:lblOffset val="100"/>
        <c:noMultiLvlLbl val="0"/>
      </c:catAx>
      <c:valAx>
        <c:axId val="99420800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419264"/>
        <c:crosses val="autoZero"/>
        <c:crossBetween val="between"/>
      </c:valAx>
      <c:valAx>
        <c:axId val="99426688"/>
        <c:scaling>
          <c:orientation val="minMax"/>
        </c:scaling>
        <c:delete val="0"/>
        <c:axPos val="r"/>
        <c:numFmt formatCode="_-* #,##0\ _€_-;\-* #,##0\ _€_-;_-* &quot;-&quot;??\ _€_-;_-@_-" sourceLinked="1"/>
        <c:majorTickMark val="out"/>
        <c:minorTickMark val="none"/>
        <c:tickLblPos val="nextTo"/>
        <c:crossAx val="99428224"/>
        <c:crosses val="max"/>
        <c:crossBetween val="between"/>
      </c:valAx>
      <c:catAx>
        <c:axId val="99428224"/>
        <c:scaling>
          <c:orientation val="minMax"/>
        </c:scaling>
        <c:delete val="1"/>
        <c:axPos val="b"/>
        <c:majorTickMark val="out"/>
        <c:minorTickMark val="none"/>
        <c:tickLblPos val="none"/>
        <c:crossAx val="99426688"/>
        <c:crosses val="autoZero"/>
        <c:auto val="1"/>
        <c:lblAlgn val="ctr"/>
        <c:lblOffset val="100"/>
        <c:noMultiLvlLbl val="0"/>
      </c:catAx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'5_RH'!$D$5</c:f>
              <c:strCache>
                <c:ptCount val="1"/>
                <c:pt idx="0">
                  <c:v>Nombre de procédures/Gestionnaire cellule des marchés</c:v>
                </c:pt>
              </c:strCache>
            </c:strRef>
          </c:tx>
          <c:invertIfNegative val="0"/>
          <c:cat>
            <c:numRef>
              <c:f>'5_RH'!$E$1:$I$1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'5_RH'!$E$5:$I$5</c:f>
              <c:numCache>
                <c:formatCode>General</c:formatCode>
                <c:ptCount val="5"/>
                <c:pt idx="0">
                  <c:v>30</c:v>
                </c:pt>
                <c:pt idx="1">
                  <c:v>22</c:v>
                </c:pt>
                <c:pt idx="2">
                  <c:v>45</c:v>
                </c:pt>
                <c:pt idx="3">
                  <c:v>25</c:v>
                </c:pt>
                <c:pt idx="4">
                  <c:v>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230912"/>
        <c:axId val="154735360"/>
      </c:barChart>
      <c:catAx>
        <c:axId val="15223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4735360"/>
        <c:crosses val="autoZero"/>
        <c:auto val="1"/>
        <c:lblAlgn val="ctr"/>
        <c:lblOffset val="100"/>
        <c:noMultiLvlLbl val="0"/>
      </c:catAx>
      <c:valAx>
        <c:axId val="154735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2309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'5_RH'!$D$6</c:f>
              <c:strCache>
                <c:ptCount val="1"/>
                <c:pt idx="0">
                  <c:v>Nombre d'acheteurs formés</c:v>
                </c:pt>
              </c:strCache>
            </c:strRef>
          </c:tx>
          <c:invertIfNegative val="0"/>
          <c:cat>
            <c:numRef>
              <c:f>'5_RH'!$E$1:$I$1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'5_RH'!$E$6:$I$6</c:f>
              <c:numCache>
                <c:formatCode>General</c:formatCode>
                <c:ptCount val="5"/>
                <c:pt idx="0">
                  <c:v>16</c:v>
                </c:pt>
                <c:pt idx="1">
                  <c:v>14</c:v>
                </c:pt>
                <c:pt idx="2">
                  <c:v>25</c:v>
                </c:pt>
                <c:pt idx="3">
                  <c:v>13</c:v>
                </c:pt>
                <c:pt idx="4">
                  <c:v>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764032"/>
        <c:axId val="154765568"/>
      </c:barChart>
      <c:catAx>
        <c:axId val="15476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4765568"/>
        <c:crosses val="autoZero"/>
        <c:auto val="1"/>
        <c:lblAlgn val="ctr"/>
        <c:lblOffset val="100"/>
        <c:noMultiLvlLbl val="0"/>
      </c:catAx>
      <c:valAx>
        <c:axId val="154765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764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'5_RH'!$D$7</c:f>
              <c:strCache>
                <c:ptCount val="1"/>
                <c:pt idx="0">
                  <c:v>Part du budget de formation consacré à l'achat</c:v>
                </c:pt>
              </c:strCache>
            </c:strRef>
          </c:tx>
          <c:invertIfNegative val="0"/>
          <c:cat>
            <c:numRef>
              <c:f>'5_RH'!$E$1:$I$1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'5_RH'!$E$7:$I$7</c:f>
              <c:numCache>
                <c:formatCode>0.00%</c:formatCode>
                <c:ptCount val="5"/>
                <c:pt idx="0">
                  <c:v>4.8031375826926214E-3</c:v>
                </c:pt>
                <c:pt idx="1">
                  <c:v>8.7193281677625262E-3</c:v>
                </c:pt>
                <c:pt idx="2">
                  <c:v>7.4711613173151642E-3</c:v>
                </c:pt>
                <c:pt idx="3">
                  <c:v>5.6752950073621173E-3</c:v>
                </c:pt>
                <c:pt idx="4">
                  <c:v>2.6774451533366087E-3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773760"/>
        <c:axId val="154791936"/>
      </c:barChart>
      <c:catAx>
        <c:axId val="15477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4791936"/>
        <c:crosses val="autoZero"/>
        <c:auto val="1"/>
        <c:lblAlgn val="ctr"/>
        <c:lblOffset val="100"/>
        <c:noMultiLvlLbl val="0"/>
      </c:catAx>
      <c:valAx>
        <c:axId val="15479193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54773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'6_Satisfaction'!$D$2</c:f>
              <c:strCache>
                <c:ptCount val="1"/>
                <c:pt idx="0">
                  <c:v>Nombre de dossiers déposés par consultation</c:v>
                </c:pt>
              </c:strCache>
            </c:strRef>
          </c:tx>
          <c:invertIfNegative val="0"/>
          <c:cat>
            <c:numRef>
              <c:f>'6_Satisfaction'!$E$1:$I$1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'6_Satisfaction'!$E$2:$I$2</c:f>
              <c:numCache>
                <c:formatCode>General</c:formatCode>
                <c:ptCount val="5"/>
                <c:pt idx="0">
                  <c:v>25</c:v>
                </c:pt>
                <c:pt idx="1">
                  <c:v>20</c:v>
                </c:pt>
                <c:pt idx="2">
                  <c:v>37</c:v>
                </c:pt>
                <c:pt idx="3">
                  <c:v>21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727168"/>
        <c:axId val="154728704"/>
      </c:barChart>
      <c:catAx>
        <c:axId val="15472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4728704"/>
        <c:crosses val="autoZero"/>
        <c:auto val="1"/>
        <c:lblAlgn val="ctr"/>
        <c:lblOffset val="100"/>
        <c:noMultiLvlLbl val="0"/>
      </c:catAx>
      <c:valAx>
        <c:axId val="154728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727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'6_Satisfaction'!$D$3</c:f>
              <c:strCache>
                <c:ptCount val="1"/>
                <c:pt idx="0">
                  <c:v>Nombre de fiches d'évènements indésirables (ou évolution) sur la fonction achat</c:v>
                </c:pt>
              </c:strCache>
            </c:strRef>
          </c:tx>
          <c:invertIfNegative val="0"/>
          <c:cat>
            <c:numRef>
              <c:f>'6_Satisfaction'!$E$1:$I$1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'6_Satisfaction'!$E$3:$I$3</c:f>
              <c:numCache>
                <c:formatCode>General</c:formatCode>
                <c:ptCount val="5"/>
                <c:pt idx="0">
                  <c:v>25</c:v>
                </c:pt>
                <c:pt idx="1">
                  <c:v>20</c:v>
                </c:pt>
                <c:pt idx="2">
                  <c:v>37</c:v>
                </c:pt>
                <c:pt idx="3">
                  <c:v>21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970240"/>
        <c:axId val="151642112"/>
      </c:barChart>
      <c:catAx>
        <c:axId val="14097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642112"/>
        <c:crosses val="autoZero"/>
        <c:auto val="1"/>
        <c:lblAlgn val="ctr"/>
        <c:lblOffset val="100"/>
        <c:noMultiLvlLbl val="0"/>
      </c:catAx>
      <c:valAx>
        <c:axId val="151642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970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'6_Satisfaction'!$D$4</c:f>
              <c:strCache>
                <c:ptCount val="1"/>
                <c:pt idx="0">
                  <c:v>Evaluation des fournisseurs</c:v>
                </c:pt>
              </c:strCache>
            </c:strRef>
          </c:tx>
          <c:invertIfNegative val="0"/>
          <c:cat>
            <c:numRef>
              <c:f>'6_Satisfaction'!$E$1:$I$1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'6_Satisfaction'!$E$4:$I$4</c:f>
              <c:numCache>
                <c:formatCode>0.00%</c:formatCode>
                <c:ptCount val="5"/>
                <c:pt idx="0">
                  <c:v>0.25714285714285712</c:v>
                </c:pt>
                <c:pt idx="1">
                  <c:v>0.17142857142857143</c:v>
                </c:pt>
                <c:pt idx="2">
                  <c:v>0.34285714285714286</c:v>
                </c:pt>
                <c:pt idx="3">
                  <c:v>0.22857142857142856</c:v>
                </c:pt>
                <c:pt idx="4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27136"/>
        <c:axId val="152028672"/>
      </c:barChart>
      <c:catAx>
        <c:axId val="15202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028672"/>
        <c:crosses val="autoZero"/>
        <c:auto val="1"/>
        <c:lblAlgn val="ctr"/>
        <c:lblOffset val="100"/>
        <c:noMultiLvlLbl val="0"/>
      </c:catAx>
      <c:valAx>
        <c:axId val="15202867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52027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/>
              <a:t>Evaluation des fournisseurs</a:t>
            </a:r>
          </a:p>
          <a:p>
            <a:pPr algn="l">
              <a:defRPr/>
            </a:pPr>
            <a:r>
              <a:rPr lang="fr-FR"/>
              <a:t>(DA et GHT)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'6_Satisfaction'!$D$5</c:f>
              <c:strCache>
                <c:ptCount val="1"/>
                <c:pt idx="0">
                  <c:v>Evaluation des fournisseurs \ par la DA</c:v>
                </c:pt>
              </c:strCache>
            </c:strRef>
          </c:tx>
          <c:invertIfNegative val="0"/>
          <c:cat>
            <c:numRef>
              <c:f>'6_Satisfaction'!$E$1:$I$1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'6_Satisfaction'!$E$5:$I$5</c:f>
              <c:numCache>
                <c:formatCode>0.00%</c:formatCode>
                <c:ptCount val="5"/>
                <c:pt idx="0">
                  <c:v>9.6428571428571419E-2</c:v>
                </c:pt>
                <c:pt idx="1">
                  <c:v>6.4285714285714279E-2</c:v>
                </c:pt>
                <c:pt idx="2">
                  <c:v>0.12857142857142856</c:v>
                </c:pt>
                <c:pt idx="3">
                  <c:v>8.5714285714285715E-2</c:v>
                </c:pt>
                <c:pt idx="4">
                  <c:v>0.15000000000000002</c:v>
                </c:pt>
              </c:numCache>
            </c:numRef>
          </c:val>
        </c:ser>
        <c:ser>
          <c:idx val="1"/>
          <c:order val="1"/>
          <c:tx>
            <c:strRef>
              <c:f>'6_Satisfaction'!$D$6</c:f>
              <c:strCache>
                <c:ptCount val="1"/>
                <c:pt idx="0">
                  <c:v>Evaluation des fournisseurs \ par les utilisateurs internes du GHT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val>
            <c:numRef>
              <c:f>'6_Satisfaction'!$E$6:$I$6</c:f>
              <c:numCache>
                <c:formatCode>0.00%</c:formatCode>
                <c:ptCount val="5"/>
                <c:pt idx="0">
                  <c:v>0.35357142857142854</c:v>
                </c:pt>
                <c:pt idx="1">
                  <c:v>0.23571428571428571</c:v>
                </c:pt>
                <c:pt idx="2">
                  <c:v>0.47142857142857142</c:v>
                </c:pt>
                <c:pt idx="3">
                  <c:v>0.31428571428571428</c:v>
                </c:pt>
                <c:pt idx="4">
                  <c:v>0.55000000000000004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4683648"/>
        <c:axId val="151912448"/>
      </c:barChart>
      <c:catAx>
        <c:axId val="15468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912448"/>
        <c:crosses val="autoZero"/>
        <c:auto val="1"/>
        <c:lblAlgn val="ctr"/>
        <c:lblOffset val="100"/>
        <c:noMultiLvlLbl val="0"/>
      </c:catAx>
      <c:valAx>
        <c:axId val="15191244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54683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'6_Satisfaction'!$D$7</c:f>
              <c:strCache>
                <c:ptCount val="1"/>
                <c:pt idx="0">
                  <c:v>Mesure de la satisfaction fournisseur</c:v>
                </c:pt>
              </c:strCache>
            </c:strRef>
          </c:tx>
          <c:invertIfNegative val="0"/>
          <c:cat>
            <c:numRef>
              <c:f>'6_Satisfaction'!$E$1:$I$1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'6_Satisfaction'!$E$7:$I$7</c:f>
              <c:numCache>
                <c:formatCode>0.00%</c:formatCode>
                <c:ptCount val="5"/>
                <c:pt idx="0">
                  <c:v>0.44999999999999996</c:v>
                </c:pt>
                <c:pt idx="1">
                  <c:v>0.3</c:v>
                </c:pt>
                <c:pt idx="2">
                  <c:v>0.6</c:v>
                </c:pt>
                <c:pt idx="3">
                  <c:v>0.4</c:v>
                </c:pt>
                <c:pt idx="4">
                  <c:v>0.70000000000000007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932928"/>
        <c:axId val="151934464"/>
      </c:barChart>
      <c:catAx>
        <c:axId val="15193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934464"/>
        <c:crosses val="autoZero"/>
        <c:auto val="1"/>
        <c:lblAlgn val="ctr"/>
        <c:lblOffset val="100"/>
        <c:noMultiLvlLbl val="0"/>
      </c:catAx>
      <c:valAx>
        <c:axId val="15193446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51932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/>
              <a:t>Gains exploitation/gains</a:t>
            </a:r>
            <a:r>
              <a:rPr lang="fr-FR" baseline="0"/>
              <a:t> investissement</a:t>
            </a:r>
            <a:endParaRPr lang="fr-FR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'8_Directoire'!$D$11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cat>
            <c:strRef>
              <c:f>'8_Directoire'!$E$1:$I$1</c:f>
              <c:strCache>
                <c:ptCount val="5"/>
                <c:pt idx="0">
                  <c:v>Janvier</c:v>
                </c:pt>
                <c:pt idx="1">
                  <c:v>#VALEUR!</c:v>
                </c:pt>
                <c:pt idx="2">
                  <c:v>#VALEUR!</c:v>
                </c:pt>
                <c:pt idx="3">
                  <c:v>#VALEUR!</c:v>
                </c:pt>
                <c:pt idx="4">
                  <c:v>#VALEUR!</c:v>
                </c:pt>
              </c:strCache>
            </c:strRef>
          </c:cat>
          <c:val>
            <c:numRef>
              <c:f>'8_Directoire'!$E$11:$I$11</c:f>
              <c:numCache>
                <c:formatCode>"€"#,##0.00_);[Red]\("€"#,##0.00\)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1"/>
          <c:tx>
            <c:strRef>
              <c:f>'8_Directoire'!$D$12</c:f>
              <c:strCache>
                <c:ptCount val="1"/>
                <c:pt idx="0">
                  <c:v>% Gains investissement / Gains total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strRef>
              <c:f>'8_Directoire'!$E$1:$I$1</c:f>
              <c:strCache>
                <c:ptCount val="5"/>
                <c:pt idx="0">
                  <c:v>Janvier</c:v>
                </c:pt>
                <c:pt idx="1">
                  <c:v>#VALEUR!</c:v>
                </c:pt>
                <c:pt idx="2">
                  <c:v>#VALEUR!</c:v>
                </c:pt>
                <c:pt idx="3">
                  <c:v>#VALEUR!</c:v>
                </c:pt>
                <c:pt idx="4">
                  <c:v>#VALEUR!</c:v>
                </c:pt>
              </c:strCache>
            </c:strRef>
          </c:cat>
          <c:val>
            <c:numRef>
              <c:f>'8_Directoire'!$E$12:$I$12</c:f>
              <c:numCache>
                <c:formatCode>"€"#,##0.00_);[Red]\("€"#,##0.00\)</c:formatCode>
                <c:ptCount val="5"/>
                <c:pt idx="0">
                  <c:v>0.12</c:v>
                </c:pt>
                <c:pt idx="1">
                  <c:v>0.09</c:v>
                </c:pt>
                <c:pt idx="2">
                  <c:v>0.11</c:v>
                </c:pt>
                <c:pt idx="3">
                  <c:v>0.11</c:v>
                </c:pt>
                <c:pt idx="4">
                  <c:v>0.08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106496"/>
        <c:axId val="152108032"/>
      </c:barChart>
      <c:lineChart>
        <c:grouping val="stacked"/>
        <c:varyColors val="0"/>
        <c:ser>
          <c:idx val="0"/>
          <c:order val="2"/>
          <c:tx>
            <c:strRef>
              <c:f>'8_Directoire'!$D$13</c:f>
              <c:strCache>
                <c:ptCount val="1"/>
                <c:pt idx="0">
                  <c:v>Distinction gains exploit/gains invest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'8_Directoire'!$E$1:$I$1</c:f>
              <c:strCache>
                <c:ptCount val="5"/>
                <c:pt idx="0">
                  <c:v>Janvier</c:v>
                </c:pt>
                <c:pt idx="1">
                  <c:v>#VALEUR!</c:v>
                </c:pt>
                <c:pt idx="2">
                  <c:v>#VALEUR!</c:v>
                </c:pt>
                <c:pt idx="3">
                  <c:v>#VALEUR!</c:v>
                </c:pt>
                <c:pt idx="4">
                  <c:v>#VALEUR!</c:v>
                </c:pt>
              </c:strCache>
            </c:strRef>
          </c:cat>
          <c:val>
            <c:numRef>
              <c:f>'8_Directoire'!$E$13:$I$13</c:f>
              <c:numCache>
                <c:formatCode>#,##0.00_ ;[Red]\-#,##0.00\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814720"/>
        <c:axId val="154813184"/>
      </c:lineChart>
      <c:catAx>
        <c:axId val="15210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108032"/>
        <c:crosses val="autoZero"/>
        <c:auto val="1"/>
        <c:lblAlgn val="ctr"/>
        <c:lblOffset val="100"/>
        <c:noMultiLvlLbl val="0"/>
      </c:catAx>
      <c:valAx>
        <c:axId val="152108032"/>
        <c:scaling>
          <c:orientation val="minMax"/>
        </c:scaling>
        <c:delete val="0"/>
        <c:axPos val="l"/>
        <c:majorGridlines/>
        <c:numFmt formatCode="&quot;€&quot;#,##0.00_);[Red]\(&quot;€&quot;#,##0.00\)" sourceLinked="1"/>
        <c:majorTickMark val="out"/>
        <c:minorTickMark val="none"/>
        <c:tickLblPos val="nextTo"/>
        <c:crossAx val="152106496"/>
        <c:crosses val="autoZero"/>
        <c:crossBetween val="between"/>
      </c:valAx>
      <c:valAx>
        <c:axId val="154813184"/>
        <c:scaling>
          <c:orientation val="minMax"/>
        </c:scaling>
        <c:delete val="0"/>
        <c:axPos val="r"/>
        <c:numFmt formatCode="#,##0.00_ ;[Red]\-#,##0.00\ " sourceLinked="1"/>
        <c:majorTickMark val="out"/>
        <c:minorTickMark val="none"/>
        <c:tickLblPos val="nextTo"/>
        <c:crossAx val="154814720"/>
        <c:crosses val="max"/>
        <c:crossBetween val="between"/>
      </c:valAx>
      <c:catAx>
        <c:axId val="154814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54813184"/>
        <c:crossesAt val="1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'8_Directoire'!$D$14</c:f>
              <c:strCache>
                <c:ptCount val="1"/>
                <c:pt idx="0">
                  <c:v>Part des actions communes/Actions totales du PAAT</c:v>
                </c:pt>
              </c:strCache>
            </c:strRef>
          </c:tx>
          <c:invertIfNegative val="0"/>
          <c:cat>
            <c:strRef>
              <c:f>'8_Directoire'!$E$1:$I$1</c:f>
              <c:strCache>
                <c:ptCount val="5"/>
                <c:pt idx="0">
                  <c:v>Janvier</c:v>
                </c:pt>
                <c:pt idx="1">
                  <c:v>#VALEUR!</c:v>
                </c:pt>
                <c:pt idx="2">
                  <c:v>#VALEUR!</c:v>
                </c:pt>
                <c:pt idx="3">
                  <c:v>#VALEUR!</c:v>
                </c:pt>
                <c:pt idx="4">
                  <c:v>#VALEUR!</c:v>
                </c:pt>
              </c:strCache>
            </c:strRef>
          </c:cat>
          <c:val>
            <c:numRef>
              <c:f>'8_Directoire'!$E$14:$I$14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835200"/>
        <c:axId val="154836992"/>
      </c:barChart>
      <c:catAx>
        <c:axId val="15483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4836992"/>
        <c:crosses val="autoZero"/>
        <c:auto val="1"/>
        <c:lblAlgn val="ctr"/>
        <c:lblOffset val="100"/>
        <c:noMultiLvlLbl val="0"/>
      </c:catAx>
      <c:valAx>
        <c:axId val="15483699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54835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Tenue objectif</a:t>
            </a:r>
            <a:r>
              <a:rPr lang="fr-FR" sz="1200" baseline="0"/>
              <a:t> </a:t>
            </a:r>
            <a:r>
              <a:rPr lang="fr-FR" sz="1200"/>
              <a:t>de gains CPOM </a:t>
            </a:r>
          </a:p>
        </c:rich>
      </c:tx>
      <c:layout>
        <c:manualLayout>
          <c:xMode val="edge"/>
          <c:yMode val="edge"/>
          <c:x val="0.18870079831635614"/>
          <c:y val="3.593733424211341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CPOM</c:v>
          </c:tx>
          <c:spPr>
            <a:pattFill prst="dkUpDiag">
              <a:fgClr>
                <a:schemeClr val="accent6">
                  <a:lumMod val="75000"/>
                </a:schemeClr>
              </a:fgClr>
              <a:bgClr>
                <a:schemeClr val="bg1"/>
              </a:bgClr>
            </a:pattFill>
          </c:spPr>
          <c:invertIfNegative val="0"/>
          <c:dLbls>
            <c:dLbl>
              <c:idx val="3"/>
              <c:layout>
                <c:manualLayout>
                  <c:x val="0.31143528022881861"/>
                  <c:y val="-0.11821111980499932"/>
                </c:manualLayout>
              </c:layout>
              <c:numFmt formatCode="#,##0_)\K&quot;€&quot;;[Red]\(#,##0\)\K&quot;€&quot;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fr-FR"/>
                </a:p>
              </c:txPr>
              <c:dLblPos val="outEnd"/>
              <c:showLegendKey val="1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'2emePARTIE'!$B$2:$D$2</c:f>
              <c:numCache>
                <c:formatCode>General</c:formatCod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numCache>
            </c:numRef>
          </c:cat>
          <c:val>
            <c:numRef>
              <c:f>'2emePARTIE'!$B$5:$D$5</c:f>
              <c:numCache>
                <c:formatCode>_-* #,##0\ _€_-;\-* #,##0\ _€_-;_-* "-"??\ _€_-;_-@_-</c:formatCode>
                <c:ptCount val="3"/>
                <c:pt idx="0">
                  <c:v>50000000</c:v>
                </c:pt>
                <c:pt idx="1">
                  <c:v>57142857.142857142</c:v>
                </c:pt>
                <c:pt idx="2">
                  <c:v>64285714.285714284</c:v>
                </c:pt>
              </c:numCache>
            </c:numRef>
          </c:val>
        </c:ser>
        <c:ser>
          <c:idx val="0"/>
          <c:order val="1"/>
          <c:tx>
            <c:strRef>
              <c:f>'2emePARTIE'!$A$6</c:f>
              <c:strCache>
                <c:ptCount val="1"/>
                <c:pt idx="0">
                  <c:v>Gains réalisés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-2.2126148665070232E-3"/>
                  <c:y val="0.5431642797660045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'2emePARTIE'!$B$2:$D$2</c:f>
              <c:numCache>
                <c:formatCode>General</c:formatCod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numCache>
            </c:numRef>
          </c:cat>
          <c:val>
            <c:numRef>
              <c:f>'2emePARTIE'!$B$6:$D$6</c:f>
              <c:numCache>
                <c:formatCode>_-* #,##0\ _€_-;\-* #,##0\ _€_-;_-* "-"??\ _€_-;_-@_-</c:formatCode>
                <c:ptCount val="3"/>
                <c:pt idx="0">
                  <c:v>52000000</c:v>
                </c:pt>
                <c:pt idx="1">
                  <c:v>57714285.714285716</c:v>
                </c:pt>
                <c:pt idx="2">
                  <c:v>70714285.714285716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axId val="99564928"/>
        <c:axId val="99591296"/>
      </c:barChart>
      <c:catAx>
        <c:axId val="9956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591296"/>
        <c:crossesAt val="0"/>
        <c:auto val="1"/>
        <c:lblAlgn val="ctr"/>
        <c:lblOffset val="100"/>
        <c:noMultiLvlLbl val="0"/>
      </c:catAx>
      <c:valAx>
        <c:axId val="99591296"/>
        <c:scaling>
          <c:orientation val="minMax"/>
          <c:min val="25000000"/>
        </c:scaling>
        <c:delete val="0"/>
        <c:axPos val="l"/>
        <c:majorGridlines/>
        <c:numFmt formatCode="#,##0_)\K&quot;€&quot;;[Red]\(#,##0\)\K&quot;€&quot;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564928"/>
        <c:crosses val="autoZero"/>
        <c:crossBetween val="between"/>
        <c:majorUnit val="10000000"/>
        <c:dispUnits>
          <c:builtInUnit val="thousands"/>
        </c:dispUnits>
      </c:valAx>
    </c:plotArea>
    <c:legend>
      <c:legendPos val="r"/>
      <c:layout>
        <c:manualLayout>
          <c:xMode val="edge"/>
          <c:yMode val="edge"/>
          <c:x val="0.77085518657993868"/>
          <c:y val="0.41287853911878047"/>
          <c:w val="0.21917128837156233"/>
          <c:h val="0.24425531914893625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'9_PHARE'!$D$6</c:f>
              <c:strCache>
                <c:ptCount val="1"/>
                <c:pt idx="0">
                  <c:v>Part des Ets ayant remonté des gains achat dans l'année</c:v>
                </c:pt>
              </c:strCache>
            </c:strRef>
          </c:tx>
          <c:invertIfNegative val="0"/>
          <c:cat>
            <c:numRef>
              <c:f>'9_PHARE'!$E$1:$I$1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'9_PHARE'!$E$6:$I$6</c:f>
              <c:numCache>
                <c:formatCode>0.00%</c:formatCode>
                <c:ptCount val="5"/>
                <c:pt idx="0">
                  <c:v>0.35357142857142854</c:v>
                </c:pt>
                <c:pt idx="1">
                  <c:v>0.23571428571428571</c:v>
                </c:pt>
                <c:pt idx="2">
                  <c:v>0.47142857142857142</c:v>
                </c:pt>
                <c:pt idx="3">
                  <c:v>0.31428571428571428</c:v>
                </c:pt>
                <c:pt idx="4">
                  <c:v>0.55000000000000004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977024"/>
        <c:axId val="154978560"/>
      </c:barChart>
      <c:catAx>
        <c:axId val="15497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4978560"/>
        <c:crosses val="autoZero"/>
        <c:auto val="1"/>
        <c:lblAlgn val="ctr"/>
        <c:lblOffset val="100"/>
        <c:noMultiLvlLbl val="0"/>
      </c:catAx>
      <c:valAx>
        <c:axId val="154978560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54977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'9_PHARE'!$D$7</c:f>
              <c:strCache>
                <c:ptCount val="1"/>
                <c:pt idx="0">
                  <c:v>Nombre de groupements régionaux/Nombre de groupements cibles (par région)</c:v>
                </c:pt>
              </c:strCache>
            </c:strRef>
          </c:tx>
          <c:invertIfNegative val="0"/>
          <c:cat>
            <c:numRef>
              <c:f>'9_PHARE'!$E$1:$I$1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'9_PHARE'!$E$7:$I$7</c:f>
              <c:numCache>
                <c:formatCode>General</c:formatCode>
                <c:ptCount val="5"/>
                <c:pt idx="0">
                  <c:v>10</c:v>
                </c:pt>
                <c:pt idx="1">
                  <c:v>14</c:v>
                </c:pt>
                <c:pt idx="2">
                  <c:v>11</c:v>
                </c:pt>
                <c:pt idx="3">
                  <c:v>15</c:v>
                </c:pt>
                <c:pt idx="4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309760"/>
        <c:axId val="156319744"/>
      </c:barChart>
      <c:catAx>
        <c:axId val="15630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319744"/>
        <c:crosses val="autoZero"/>
        <c:auto val="1"/>
        <c:lblAlgn val="ctr"/>
        <c:lblOffset val="100"/>
        <c:noMultiLvlLbl val="0"/>
      </c:catAx>
      <c:valAx>
        <c:axId val="156319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309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'9_PHARE'!$D$8</c:f>
              <c:strCache>
                <c:ptCount val="1"/>
                <c:pt idx="0">
                  <c:v>Taux d'adhésion des GHT aux groupements régionaux/nationaux</c:v>
                </c:pt>
              </c:strCache>
            </c:strRef>
          </c:tx>
          <c:invertIfNegative val="0"/>
          <c:cat>
            <c:numRef>
              <c:f>'9_PHARE'!$E$1:$I$1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'9_PHARE'!$E$8:$I$8</c:f>
              <c:numCache>
                <c:formatCode>0.00%</c:formatCode>
                <c:ptCount val="5"/>
                <c:pt idx="0">
                  <c:v>9.6428571428571419E-2</c:v>
                </c:pt>
                <c:pt idx="1">
                  <c:v>6.4285714285714279E-2</c:v>
                </c:pt>
                <c:pt idx="2">
                  <c:v>0.12857142857142856</c:v>
                </c:pt>
                <c:pt idx="3">
                  <c:v>8.5714285714285715E-2</c:v>
                </c:pt>
                <c:pt idx="4">
                  <c:v>0.15000000000000002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348416"/>
        <c:axId val="156349952"/>
      </c:barChart>
      <c:catAx>
        <c:axId val="15634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349952"/>
        <c:crosses val="autoZero"/>
        <c:auto val="1"/>
        <c:lblAlgn val="ctr"/>
        <c:lblOffset val="100"/>
        <c:noMultiLvlLbl val="0"/>
      </c:catAx>
      <c:valAx>
        <c:axId val="15634995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56348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 algn="l">
            <a:defRPr/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'9_PHARE'!$D$9</c:f>
              <c:strCache>
                <c:ptCount val="1"/>
                <c:pt idx="0">
                  <c:v>Part des actions communes/actions totales du PAAT en consolidé</c:v>
                </c:pt>
              </c:strCache>
            </c:strRef>
          </c:tx>
          <c:invertIfNegative val="0"/>
          <c:cat>
            <c:numRef>
              <c:f>'9_PHARE'!$E$1:$I$1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'9_PHARE'!$E$9:$I$9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366336"/>
        <c:axId val="156367872"/>
      </c:barChart>
      <c:catAx>
        <c:axId val="15636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367872"/>
        <c:crosses val="autoZero"/>
        <c:auto val="1"/>
        <c:lblAlgn val="ctr"/>
        <c:lblOffset val="100"/>
        <c:noMultiLvlLbl val="0"/>
      </c:catAx>
      <c:valAx>
        <c:axId val="15636787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56366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Répartition des principaux opérateurs nationaux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'10_PolitiqueAchat'!$D$3</c:f>
              <c:strCache>
                <c:ptCount val="1"/>
                <c:pt idx="0">
                  <c:v>UniHA</c:v>
                </c:pt>
              </c:strCache>
            </c:strRef>
          </c:tx>
          <c:invertIfNegative val="0"/>
          <c:cat>
            <c:strRef>
              <c:f>'10_PolitiqueAchat'!$Q$1:$T$1</c:f>
              <c:strCache>
                <c:ptCount val="4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</c:strCache>
            </c:strRef>
          </c:cat>
          <c:val>
            <c:numRef>
              <c:f>'10_PolitiqueAchat'!$Q$3:$T$3</c:f>
              <c:numCache>
                <c:formatCode>_(* #,##0.00_);_(* \(#,##0.00\);_(* "-"??_);_(@_)</c:formatCode>
                <c:ptCount val="4"/>
                <c:pt idx="0">
                  <c:v>720000000</c:v>
                </c:pt>
                <c:pt idx="1">
                  <c:v>680000000</c:v>
                </c:pt>
                <c:pt idx="2">
                  <c:v>800000000</c:v>
                </c:pt>
                <c:pt idx="3">
                  <c:v>900000000</c:v>
                </c:pt>
              </c:numCache>
            </c:numRef>
          </c:val>
        </c:ser>
        <c:ser>
          <c:idx val="1"/>
          <c:order val="1"/>
          <c:tx>
            <c:strRef>
              <c:f>'10_PolitiqueAchat'!$D$4</c:f>
              <c:strCache>
                <c:ptCount val="1"/>
                <c:pt idx="0">
                  <c:v>Resah</c:v>
                </c:pt>
              </c:strCache>
            </c:strRef>
          </c:tx>
          <c:invertIfNegative val="0"/>
          <c:cat>
            <c:strRef>
              <c:f>'10_PolitiqueAchat'!$Q$1:$T$1</c:f>
              <c:strCache>
                <c:ptCount val="4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</c:strCache>
            </c:strRef>
          </c:cat>
          <c:val>
            <c:numRef>
              <c:f>'10_PolitiqueAchat'!$Q$4:$T$4</c:f>
              <c:numCache>
                <c:formatCode>_(* #,##0.00_);_(* \(#,##0.00\);_(* "-"??_);_(@_)</c:formatCode>
                <c:ptCount val="4"/>
                <c:pt idx="0">
                  <c:v>270000000</c:v>
                </c:pt>
                <c:pt idx="1">
                  <c:v>240000000</c:v>
                </c:pt>
                <c:pt idx="2">
                  <c:v>300000000</c:v>
                </c:pt>
                <c:pt idx="3">
                  <c:v>350000000</c:v>
                </c:pt>
              </c:numCache>
            </c:numRef>
          </c:val>
        </c:ser>
        <c:ser>
          <c:idx val="2"/>
          <c:order val="2"/>
          <c:tx>
            <c:strRef>
              <c:f>'10_PolitiqueAchat'!$D$5</c:f>
              <c:strCache>
                <c:ptCount val="1"/>
                <c:pt idx="0">
                  <c:v>UGAP</c:v>
                </c:pt>
              </c:strCache>
            </c:strRef>
          </c:tx>
          <c:invertIfNegative val="0"/>
          <c:cat>
            <c:strRef>
              <c:f>'10_PolitiqueAchat'!$Q$1:$T$1</c:f>
              <c:strCache>
                <c:ptCount val="4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</c:strCache>
            </c:strRef>
          </c:cat>
          <c:val>
            <c:numRef>
              <c:f>'10_PolitiqueAchat'!$Q$5:$T$5</c:f>
              <c:numCache>
                <c:formatCode>_(* #,##0.00_);_(* \(#,##0.00\);_(* "-"??_);_(@_)</c:formatCode>
                <c:ptCount val="4"/>
                <c:pt idx="0">
                  <c:v>170000000</c:v>
                </c:pt>
                <c:pt idx="1">
                  <c:v>160000000</c:v>
                </c:pt>
                <c:pt idx="2">
                  <c:v>190000000</c:v>
                </c:pt>
                <c:pt idx="3">
                  <c:v>220000000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681728"/>
        <c:axId val="156683264"/>
      </c:barChart>
      <c:catAx>
        <c:axId val="1566817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6683264"/>
        <c:crossesAt val="0"/>
        <c:auto val="1"/>
        <c:lblAlgn val="ctr"/>
        <c:lblOffset val="100"/>
        <c:noMultiLvlLbl val="0"/>
      </c:catAx>
      <c:valAx>
        <c:axId val="156683264"/>
        <c:scaling>
          <c:orientation val="minMax"/>
        </c:scaling>
        <c:delete val="0"/>
        <c:axPos val="l"/>
        <c:majorGridlines/>
        <c:numFmt formatCode="#,##0.00\ _€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6681728"/>
        <c:crosses val="autoZero"/>
        <c:crossBetween val="between"/>
        <c:dispUnits>
          <c:builtInUnit val="billions"/>
          <c:dispUnitsLbl>
            <c:tx>
              <c:rich>
                <a:bodyPr/>
                <a:lstStyle/>
                <a:p>
                  <a:pPr>
                    <a:defRPr sz="800"/>
                  </a:pPr>
                  <a:r>
                    <a:rPr lang="fr-FR" sz="800"/>
                    <a:t>Milliards €</a:t>
                  </a:r>
                </a:p>
              </c:rich>
            </c:tx>
          </c:dispUnitsLbl>
        </c:dispUnits>
      </c:valAx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Répartition des principaux opérateurs nationaux (Md €) 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'10_PolitiqueAchat'!$D$3:$D$5</c:f>
              <c:strCache>
                <c:ptCount val="1"/>
                <c:pt idx="0">
                  <c:v>UniHA Resah UGAP</c:v>
                </c:pt>
              </c:strCache>
            </c:strRef>
          </c:tx>
          <c:dLbls>
            <c:spPr>
              <a:ln>
                <a:gradFill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</a:ln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LegendKey val="1"/>
            <c:showVal val="1"/>
            <c:showCatName val="0"/>
            <c:showSerName val="0"/>
            <c:showPercent val="1"/>
            <c:showBubbleSize val="0"/>
            <c:showLeaderLines val="0"/>
          </c:dLbls>
          <c:cat>
            <c:strRef>
              <c:f>'10_PolitiqueAchat'!$D$3:$D$5</c:f>
              <c:strCache>
                <c:ptCount val="3"/>
                <c:pt idx="0">
                  <c:v>UniHA</c:v>
                </c:pt>
                <c:pt idx="1">
                  <c:v>Resah</c:v>
                </c:pt>
                <c:pt idx="2">
                  <c:v>UGAP</c:v>
                </c:pt>
              </c:strCache>
            </c:strRef>
          </c:cat>
          <c:val>
            <c:numRef>
              <c:f>'10_PolitiqueAchat'!$X$3:$X$5</c:f>
              <c:numCache>
                <c:formatCode>_(* #,##0.00_);_(* \(#,##0.00\);_(* "-"??_);_(@_)</c:formatCode>
                <c:ptCount val="3"/>
                <c:pt idx="0">
                  <c:v>3.1</c:v>
                </c:pt>
                <c:pt idx="1">
                  <c:v>1.1599999999999999</c:v>
                </c:pt>
                <c:pt idx="2">
                  <c:v>0.74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Répartition des acteurs d'achat mutualisés vs locaux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'10_PolitiqueAchat'!$D$8</c:f>
              <c:strCache>
                <c:ptCount val="1"/>
                <c:pt idx="0">
                  <c:v>Achats locaux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'10_PolitiqueAchat'!$Q$1:$T$1</c:f>
              <c:strCache>
                <c:ptCount val="4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</c:strCache>
            </c:strRef>
          </c:cat>
          <c:val>
            <c:numRef>
              <c:f>'10_PolitiqueAchat'!$Q$8:$T$8</c:f>
              <c:numCache>
                <c:formatCode>_(* #,##0.00_);_(* \(#,##0.00\);_(* "-"??_);_(@_)</c:formatCode>
                <c:ptCount val="4"/>
                <c:pt idx="0">
                  <c:v>4350000000</c:v>
                </c:pt>
                <c:pt idx="1">
                  <c:v>4050000000</c:v>
                </c:pt>
                <c:pt idx="2">
                  <c:v>4837500000</c:v>
                </c:pt>
                <c:pt idx="3">
                  <c:v>5512500000</c:v>
                </c:pt>
              </c:numCache>
            </c:numRef>
          </c:val>
        </c:ser>
        <c:ser>
          <c:idx val="1"/>
          <c:order val="1"/>
          <c:tx>
            <c:strRef>
              <c:f>'10_PolitiqueAchat'!$D$9</c:f>
              <c:strCache>
                <c:ptCount val="1"/>
                <c:pt idx="0">
                  <c:v>Groupements nationaux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'10_PolitiqueAchat'!$Q$1:$T$1</c:f>
              <c:strCache>
                <c:ptCount val="4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</c:strCache>
            </c:strRef>
          </c:cat>
          <c:val>
            <c:numRef>
              <c:f>'10_PolitiqueAchat'!$Q$9:$T$9</c:f>
              <c:numCache>
                <c:formatCode>_(* #,##0.00_);_(* \(#,##0.00\);_(* "-"??_);_(@_)</c:formatCode>
                <c:ptCount val="4"/>
                <c:pt idx="0">
                  <c:v>1160000000</c:v>
                </c:pt>
                <c:pt idx="1">
                  <c:v>1080000000</c:v>
                </c:pt>
                <c:pt idx="2">
                  <c:v>1290000000</c:v>
                </c:pt>
                <c:pt idx="3">
                  <c:v>1470000000</c:v>
                </c:pt>
              </c:numCache>
            </c:numRef>
          </c:val>
        </c:ser>
        <c:ser>
          <c:idx val="2"/>
          <c:order val="2"/>
          <c:tx>
            <c:strRef>
              <c:f>'10_PolitiqueAchat'!$D$10</c:f>
              <c:strCache>
                <c:ptCount val="1"/>
                <c:pt idx="0">
                  <c:v>Groupements régionaux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strRef>
              <c:f>'10_PolitiqueAchat'!$Q$1:$T$1</c:f>
              <c:strCache>
                <c:ptCount val="4"/>
                <c:pt idx="0">
                  <c:v>T1-2017</c:v>
                </c:pt>
                <c:pt idx="1">
                  <c:v>T2-2017</c:v>
                </c:pt>
                <c:pt idx="2">
                  <c:v>T3-2017</c:v>
                </c:pt>
                <c:pt idx="3">
                  <c:v>T4-2017</c:v>
                </c:pt>
              </c:strCache>
            </c:strRef>
          </c:cat>
          <c:val>
            <c:numRef>
              <c:f>'10_PolitiqueAchat'!$Q$10:$T$10</c:f>
              <c:numCache>
                <c:formatCode>_(* #,##0.00_);_(* \(#,##0.00\);_(* "-"??_);_(@_)</c:formatCode>
                <c:ptCount val="4"/>
                <c:pt idx="0">
                  <c:v>290000000</c:v>
                </c:pt>
                <c:pt idx="1">
                  <c:v>270000000</c:v>
                </c:pt>
                <c:pt idx="2">
                  <c:v>322500000</c:v>
                </c:pt>
                <c:pt idx="3">
                  <c:v>367500000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484672"/>
        <c:axId val="156697728"/>
      </c:barChart>
      <c:catAx>
        <c:axId val="1534846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6697728"/>
        <c:crossesAt val="0"/>
        <c:auto val="1"/>
        <c:lblAlgn val="ctr"/>
        <c:lblOffset val="100"/>
        <c:noMultiLvlLbl val="0"/>
      </c:catAx>
      <c:valAx>
        <c:axId val="156697728"/>
        <c:scaling>
          <c:orientation val="minMax"/>
        </c:scaling>
        <c:delete val="0"/>
        <c:axPos val="l"/>
        <c:majorGridlines/>
        <c:numFmt formatCode="#,##0.00\ _€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3484672"/>
        <c:crosses val="autoZero"/>
        <c:crossBetween val="between"/>
        <c:dispUnits>
          <c:builtInUnit val="billions"/>
          <c:dispUnitsLbl>
            <c:tx>
              <c:rich>
                <a:bodyPr/>
                <a:lstStyle/>
                <a:p>
                  <a:pPr>
                    <a:defRPr sz="800"/>
                  </a:pPr>
                  <a:r>
                    <a:rPr lang="fr-FR" sz="800"/>
                    <a:t>Milliards €</a:t>
                  </a:r>
                </a:p>
              </c:rich>
            </c:tx>
          </c:dispUnitsLbl>
        </c:dispUnits>
      </c:valAx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200" b="1" i="0" baseline="0">
                <a:effectLst/>
              </a:rPr>
              <a:t>Répartition des acteurs d'achat mutualisés vs locaux (Md €)</a:t>
            </a:r>
            <a:endParaRPr lang="fr-FR" sz="1200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'10_PolitiqueAchat'!$D$8:$D$10</c:f>
              <c:strCache>
                <c:ptCount val="1"/>
                <c:pt idx="0">
                  <c:v>Achats locaux Groupements nationaux Groupements régionaux</c:v>
                </c:pt>
              </c:strCache>
            </c:strRef>
          </c:tx>
          <c:dPt>
            <c:idx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numFmt formatCode="General" sourceLinked="0"/>
            <c:spPr>
              <a:ln>
                <a:gradFill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</a:ln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LegendKey val="1"/>
            <c:showVal val="1"/>
            <c:showCatName val="0"/>
            <c:showSerName val="0"/>
            <c:showPercent val="1"/>
            <c:showBubbleSize val="0"/>
            <c:showLeaderLines val="0"/>
          </c:dLbls>
          <c:cat>
            <c:strRef>
              <c:f>'10_PolitiqueAchat'!$D$8:$D$10</c:f>
              <c:strCache>
                <c:ptCount val="3"/>
                <c:pt idx="0">
                  <c:v>Achats locaux</c:v>
                </c:pt>
                <c:pt idx="1">
                  <c:v>Groupements nationaux</c:v>
                </c:pt>
                <c:pt idx="2">
                  <c:v>Groupements régionaux</c:v>
                </c:pt>
              </c:strCache>
            </c:strRef>
          </c:cat>
          <c:val>
            <c:numRef>
              <c:f>'10_PolitiqueAchat'!$X$8:$X$10</c:f>
              <c:numCache>
                <c:formatCode>_(* #,##0.00_);_(* \(#,##0.00\);_(* "-"??_);_(@_)</c:formatCode>
                <c:ptCount val="3"/>
                <c:pt idx="0">
                  <c:v>18.75</c:v>
                </c:pt>
                <c:pt idx="1">
                  <c:v>5</c:v>
                </c:pt>
                <c:pt idx="2">
                  <c:v>1.25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Poids cumulé des achats locaux sur le total des achats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'10_PolitiqueAchat'!$D$11</c:f>
              <c:strCache>
                <c:ptCount val="1"/>
                <c:pt idx="0">
                  <c:v>Achats locaux (cumulés)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'10_PolitiqueAchat'!$E$1:$P$1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'10_PolitiqueAchat'!$E$11:$P$11</c:f>
              <c:numCache>
                <c:formatCode>"€"#,##0.00_);[Red]\("€"#,##0.00\)</c:formatCode>
                <c:ptCount val="12"/>
                <c:pt idx="0">
                  <c:v>1200000000</c:v>
                </c:pt>
                <c:pt idx="1">
                  <c:v>2700000000</c:v>
                </c:pt>
                <c:pt idx="2">
                  <c:v>2880000000</c:v>
                </c:pt>
                <c:pt idx="3">
                  <c:v>5180000000</c:v>
                </c:pt>
                <c:pt idx="4">
                  <c:v>5680000000</c:v>
                </c:pt>
                <c:pt idx="5">
                  <c:v>13180000000</c:v>
                </c:pt>
                <c:pt idx="6">
                  <c:v>14680000000</c:v>
                </c:pt>
                <c:pt idx="7">
                  <c:v>23180000000</c:v>
                </c:pt>
                <c:pt idx="8">
                  <c:v>25380000000</c:v>
                </c:pt>
                <c:pt idx="9">
                  <c:v>27880000000</c:v>
                </c:pt>
                <c:pt idx="10">
                  <c:v>29280000000</c:v>
                </c:pt>
                <c:pt idx="11">
                  <c:v>29780000000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765184"/>
        <c:axId val="156771072"/>
      </c:barChart>
      <c:lineChart>
        <c:grouping val="stacked"/>
        <c:varyColors val="0"/>
        <c:ser>
          <c:idx val="1"/>
          <c:order val="1"/>
          <c:tx>
            <c:strRef>
              <c:f>'10_PolitiqueAchat'!$D$13</c:f>
              <c:strCache>
                <c:ptCount val="1"/>
                <c:pt idx="0">
                  <c:v>%Achat locaux/Total achats (cumulés)</c:v>
                </c:pt>
              </c:strCache>
            </c:strRef>
          </c:tx>
          <c:marker>
            <c:symbol val="diamond"/>
            <c:size val="5"/>
          </c:marker>
          <c:cat>
            <c:strRef>
              <c:f>'10_PolitiqueAchat'!$E$1:$P$1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'10_PolitiqueAchat'!$E$13:$P$13</c:f>
              <c:numCache>
                <c:formatCode>0.00%</c:formatCode>
                <c:ptCount val="12"/>
                <c:pt idx="0">
                  <c:v>0.64171122994652408</c:v>
                </c:pt>
                <c:pt idx="1">
                  <c:v>0.71618037135278512</c:v>
                </c:pt>
                <c:pt idx="2">
                  <c:v>0.59259259259259256</c:v>
                </c:pt>
                <c:pt idx="3">
                  <c:v>0.67624020887728464</c:v>
                </c:pt>
                <c:pt idx="4">
                  <c:v>0.67659321024419294</c:v>
                </c:pt>
                <c:pt idx="5">
                  <c:v>0.79302045728038506</c:v>
                </c:pt>
                <c:pt idx="6">
                  <c:v>0.7808510638297872</c:v>
                </c:pt>
                <c:pt idx="7">
                  <c:v>0.82756158514816136</c:v>
                </c:pt>
                <c:pt idx="8">
                  <c:v>0.83192657543227078</c:v>
                </c:pt>
                <c:pt idx="9">
                  <c:v>0.81741552444477017</c:v>
                </c:pt>
                <c:pt idx="10">
                  <c:v>0.81884919247710275</c:v>
                </c:pt>
                <c:pt idx="11">
                  <c:v>0.80470174964534213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778880"/>
        <c:axId val="156772992"/>
      </c:lineChart>
      <c:catAx>
        <c:axId val="1567651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6771072"/>
        <c:crossesAt val="0"/>
        <c:auto val="1"/>
        <c:lblAlgn val="ctr"/>
        <c:lblOffset val="100"/>
        <c:noMultiLvlLbl val="0"/>
      </c:catAx>
      <c:valAx>
        <c:axId val="156771072"/>
        <c:scaling>
          <c:orientation val="minMax"/>
        </c:scaling>
        <c:delete val="0"/>
        <c:axPos val="l"/>
        <c:majorGridlines/>
        <c:numFmt formatCode="#,##0.00\ _€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6765184"/>
        <c:crosses val="autoZero"/>
        <c:crossBetween val="between"/>
        <c:dispUnits>
          <c:builtInUnit val="billions"/>
          <c:dispUnitsLbl>
            <c:tx>
              <c:rich>
                <a:bodyPr/>
                <a:lstStyle/>
                <a:p>
                  <a:pPr>
                    <a:defRPr sz="800"/>
                  </a:pPr>
                  <a:r>
                    <a:rPr lang="fr-FR" sz="800"/>
                    <a:t>Milliards €</a:t>
                  </a:r>
                </a:p>
              </c:rich>
            </c:tx>
          </c:dispUnitsLbl>
        </c:dispUnits>
      </c:valAx>
      <c:valAx>
        <c:axId val="156772992"/>
        <c:scaling>
          <c:orientation val="minMax"/>
          <c:max val="1"/>
          <c:min val="0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6778880"/>
        <c:crosses val="max"/>
        <c:crossBetween val="between"/>
        <c:majorUnit val="0.1"/>
      </c:valAx>
      <c:catAx>
        <c:axId val="156778880"/>
        <c:scaling>
          <c:orientation val="minMax"/>
        </c:scaling>
        <c:delete val="1"/>
        <c:axPos val="b"/>
        <c:majorTickMark val="out"/>
        <c:minorTickMark val="none"/>
        <c:tickLblPos val="none"/>
        <c:crossAx val="156772992"/>
        <c:crosses val="autoZero"/>
        <c:auto val="1"/>
        <c:lblAlgn val="ctr"/>
        <c:lblOffset val="100"/>
        <c:noMultiLvlLbl val="0"/>
      </c:catAx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Poids des gains investissement</a:t>
            </a:r>
            <a:r>
              <a:rPr lang="fr-FR" sz="1200" baseline="0"/>
              <a:t> dans les gains achat</a:t>
            </a:r>
            <a:r>
              <a:rPr lang="fr-FR" sz="1200"/>
              <a:t> </a:t>
            </a:r>
          </a:p>
        </c:rich>
      </c:tx>
      <c:layout>
        <c:manualLayout>
          <c:xMode val="edge"/>
          <c:yMode val="edge"/>
          <c:x val="5.3653629975564332E-2"/>
          <c:y val="3.593749784377774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'2emePARTIE'!$A$8</c:f>
              <c:strCache>
                <c:ptCount val="1"/>
                <c:pt idx="0">
                  <c:v>Gains investissements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Lbls>
            <c:dLbl>
              <c:idx val="4"/>
              <c:layout>
                <c:manualLayout>
                  <c:x val="-2.2126148665070232E-3"/>
                  <c:y val="0.5431642797660045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'2emePARTIE'!$B$2:$D$2</c:f>
              <c:numCache>
                <c:formatCode>General</c:formatCod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numCache>
            </c:numRef>
          </c:cat>
          <c:val>
            <c:numRef>
              <c:f>'2emePARTIE'!$B$8:$D$8</c:f>
              <c:numCache>
                <c:formatCode>General</c:formatCode>
                <c:ptCount val="3"/>
                <c:pt idx="0">
                  <c:v>650000</c:v>
                </c:pt>
                <c:pt idx="1">
                  <c:v>320000</c:v>
                </c:pt>
                <c:pt idx="2">
                  <c:v>820000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axId val="99619968"/>
        <c:axId val="99621504"/>
      </c:barChart>
      <c:lineChart>
        <c:grouping val="stacked"/>
        <c:varyColors val="0"/>
        <c:ser>
          <c:idx val="1"/>
          <c:order val="0"/>
          <c:tx>
            <c:strRef>
              <c:f>'2emePARTIE'!$A$9</c:f>
              <c:strCache>
                <c:ptCount val="1"/>
                <c:pt idx="0">
                  <c:v>Ratio gains : Investissement / Total</c:v>
                </c:pt>
              </c:strCache>
            </c:strRef>
          </c:tx>
          <c:spPr>
            <a:ln w="22225">
              <a:solidFill>
                <a:schemeClr val="accent4">
                  <a:lumMod val="75000"/>
                </a:schemeClr>
              </a:solidFill>
            </a:ln>
          </c:spPr>
          <c:marker>
            <c:symbol val="diamond"/>
            <c:size val="5"/>
            <c:spPr>
              <a:solidFill>
                <a:schemeClr val="accent2">
                  <a:lumMod val="75000"/>
                </a:schemeClr>
              </a:solidFill>
              <a:ln w="6350"/>
            </c:spPr>
          </c:marker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'2emePARTIE'!$B$2:$D$3</c:f>
              <c:strCach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strCache>
            </c:strRef>
          </c:cat>
          <c:val>
            <c:numRef>
              <c:f>'2emePARTIE'!$B$9:$D$9</c:f>
              <c:numCache>
                <c:formatCode>0%</c:formatCode>
                <c:ptCount val="3"/>
                <c:pt idx="0">
                  <c:v>0.01</c:v>
                </c:pt>
                <c:pt idx="1">
                  <c:v>0.09</c:v>
                </c:pt>
                <c:pt idx="2">
                  <c:v>0.03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649792"/>
        <c:axId val="99648256"/>
      </c:lineChart>
      <c:catAx>
        <c:axId val="996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621504"/>
        <c:crosses val="autoZero"/>
        <c:auto val="1"/>
        <c:lblAlgn val="ctr"/>
        <c:lblOffset val="100"/>
        <c:noMultiLvlLbl val="0"/>
      </c:catAx>
      <c:valAx>
        <c:axId val="99621504"/>
        <c:scaling>
          <c:orientation val="minMax"/>
        </c:scaling>
        <c:delete val="0"/>
        <c:axPos val="l"/>
        <c:majorGridlines/>
        <c:numFmt formatCode="#,##0_)\K&quot;€&quot;;[Red]\(#,##0\)\K&quot;€&quot;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619968"/>
        <c:crosses val="autoZero"/>
        <c:crossBetween val="between"/>
        <c:majorUnit val="250000"/>
        <c:dispUnits>
          <c:builtInUnit val="thousands"/>
        </c:dispUnits>
      </c:valAx>
      <c:valAx>
        <c:axId val="99648256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649792"/>
        <c:crosses val="max"/>
        <c:crossBetween val="between"/>
        <c:majorUnit val="2.0000000000000011E-2"/>
      </c:valAx>
      <c:catAx>
        <c:axId val="99649792"/>
        <c:scaling>
          <c:orientation val="minMax"/>
        </c:scaling>
        <c:delete val="1"/>
        <c:axPos val="b"/>
        <c:majorTickMark val="out"/>
        <c:minorTickMark val="none"/>
        <c:tickLblPos val="none"/>
        <c:crossAx val="9964825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5781188743812136"/>
          <c:y val="0.23358754170981127"/>
          <c:w val="0.30902625937803924"/>
          <c:h val="0.5285846440702775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/>
              <a:t>Gains des actions mutualisées vs gains prévisionnels de l'ensemble des PAAT</a:t>
            </a:r>
          </a:p>
        </c:rich>
      </c:tx>
      <c:layout>
        <c:manualLayout>
          <c:xMode val="edge"/>
          <c:yMode val="edge"/>
          <c:x val="6.3130011145867054E-2"/>
          <c:y val="5.44556236026052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68101808374867"/>
          <c:y val="0.31017543859649122"/>
          <c:w val="0.53650181800669439"/>
          <c:h val="0.5899801998434403"/>
        </c:manualLayout>
      </c:layout>
      <c:barChart>
        <c:barDir val="col"/>
        <c:grouping val="stacked"/>
        <c:varyColors val="0"/>
        <c:ser>
          <c:idx val="2"/>
          <c:order val="1"/>
          <c:tx>
            <c:strRef>
              <c:f>'2emePARTIE'!$A$43</c:f>
              <c:strCache>
                <c:ptCount val="1"/>
                <c:pt idx="0">
                  <c:v>Gains prév. des actions mutualisées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dLbls>
            <c:dLbl>
              <c:idx val="3"/>
              <c:dLblPos val="ctr"/>
              <c:showLegendKey val="1"/>
              <c:showVal val="1"/>
              <c:showCatName val="0"/>
              <c:showSerName val="0"/>
              <c:showPercent val="0"/>
              <c:showBubbleSize val="0"/>
            </c:dLbl>
            <c:numFmt formatCode="#,##0_)\K&quot;€&quot;;[Red]\(#,##0\)\K&quot;€&quot;" sourceLinked="0"/>
            <c:txPr>
              <a:bodyPr/>
              <a:lstStyle/>
              <a:p>
                <a:pPr>
                  <a:defRPr sz="800">
                    <a:solidFill>
                      <a:srgbClr val="FFFF00"/>
                    </a:solidFill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'2emePARTIE'!$B$39:$D$39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'2emePARTIE'!$B$43:$D$43</c:f>
              <c:numCache>
                <c:formatCode>_-* #,##0\ _€_-;\-* #,##0\ _€_-;_-* "-"??\ _€_-;_-@_-</c:formatCode>
                <c:ptCount val="3"/>
                <c:pt idx="0">
                  <c:v>160000</c:v>
                </c:pt>
                <c:pt idx="1">
                  <c:v>165000</c:v>
                </c:pt>
                <c:pt idx="2">
                  <c:v>225000</c:v>
                </c:pt>
              </c:numCache>
            </c:numRef>
          </c:val>
        </c:ser>
        <c:ser>
          <c:idx val="0"/>
          <c:order val="2"/>
          <c:tx>
            <c:strRef>
              <c:f>'2emePARTIE'!$A$44</c:f>
              <c:strCache>
                <c:ptCount val="1"/>
                <c:pt idx="0">
                  <c:v>Gains prév. des actions non mutualisées</c:v>
                </c:pt>
              </c:strCache>
            </c:strRef>
          </c:tx>
          <c:spPr>
            <a:pattFill prst="ltUpDiag">
              <a:fgClr>
                <a:schemeClr val="accent3">
                  <a:lumMod val="75000"/>
                </a:schemeClr>
              </a:fgClr>
              <a:bgClr>
                <a:schemeClr val="bg1"/>
              </a:bgClr>
            </a:pattFill>
          </c:spPr>
          <c:invertIfNegative val="0"/>
          <c:dLbls>
            <c:dLbl>
              <c:idx val="4"/>
              <c:layout>
                <c:manualLayout>
                  <c:x val="-2.2126148665070232E-3"/>
                  <c:y val="0.5431642797660045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'2emePARTIE'!$B$39:$D$39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'2emePARTIE'!$B$44:$D$44</c:f>
              <c:numCache>
                <c:formatCode>_-* #,##0\ _€_-;\-* #,##0\ _€_-;_-* "-"??\ _€_-;_-@_-</c:formatCode>
                <c:ptCount val="3"/>
                <c:pt idx="0">
                  <c:v>240000</c:v>
                </c:pt>
                <c:pt idx="1">
                  <c:v>135000</c:v>
                </c:pt>
                <c:pt idx="2">
                  <c:v>675000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overlap val="100"/>
        <c:axId val="99803136"/>
        <c:axId val="99804672"/>
      </c:barChart>
      <c:lineChart>
        <c:grouping val="standard"/>
        <c:varyColors val="0"/>
        <c:ser>
          <c:idx val="3"/>
          <c:order val="3"/>
          <c:tx>
            <c:strRef>
              <c:f>'2emePARTIE'!$A$42</c:f>
              <c:strCache>
                <c:ptCount val="1"/>
                <c:pt idx="0">
                  <c:v>Gains prév. de l'ensemble des PAAT</c:v>
                </c:pt>
              </c:strCache>
            </c:strRef>
          </c:tx>
          <c:spPr>
            <a:ln w="0">
              <a:noFill/>
            </a:ln>
          </c:spPr>
          <c:dLbls>
            <c:numFmt formatCode="#,##0_)\K&quot;€&quot;;[Red]\(#,##0\)\K&quot;€&quot;" sourceLinked="0"/>
            <c:txPr>
              <a:bodyPr/>
              <a:lstStyle/>
              <a:p>
                <a:pPr>
                  <a:defRPr sz="900" b="1"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'2emePARTIE'!$B$39:$D$39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'2emePARTIE'!$B$42:$D$42</c:f>
              <c:numCache>
                <c:formatCode>_-* #,##0\ _€_-;\-* #,##0\ _€_-;_-* "-"??\ _€_-;_-@_-</c:formatCode>
                <c:ptCount val="3"/>
                <c:pt idx="0">
                  <c:v>400000</c:v>
                </c:pt>
                <c:pt idx="1">
                  <c:v>300000</c:v>
                </c:pt>
                <c:pt idx="2">
                  <c:v>900000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03136"/>
        <c:axId val="99804672"/>
      </c:lineChart>
      <c:lineChart>
        <c:grouping val="standard"/>
        <c:varyColors val="0"/>
        <c:ser>
          <c:idx val="1"/>
          <c:order val="0"/>
          <c:tx>
            <c:strRef>
              <c:f>'2emePARTIE'!$A$41</c:f>
              <c:strCache>
                <c:ptCount val="1"/>
                <c:pt idx="0">
                  <c:v>Ratio : Actions mutualisées / Ensemble des actions du PAAT</c:v>
                </c:pt>
              </c:strCache>
            </c:strRef>
          </c:tx>
          <c:spPr>
            <a:ln w="22225"/>
          </c:spPr>
          <c:marker>
            <c:symbol val="diamond"/>
            <c:size val="6"/>
          </c:marker>
          <c:dLbls>
            <c:txPr>
              <a:bodyPr/>
              <a:lstStyle/>
              <a:p>
                <a:pPr>
                  <a:defRPr sz="800">
                    <a:solidFill>
                      <a:schemeClr val="accent1">
                        <a:lumMod val="50000"/>
                      </a:schemeClr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'2emePARTIE'!$B$39:$D$39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'2emePARTIE'!$B$41:$D$41</c:f>
              <c:numCache>
                <c:formatCode>0%</c:formatCode>
                <c:ptCount val="3"/>
                <c:pt idx="0">
                  <c:v>0.4</c:v>
                </c:pt>
                <c:pt idx="1">
                  <c:v>0.55000000000000004</c:v>
                </c:pt>
                <c:pt idx="2">
                  <c:v>0.25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16576"/>
        <c:axId val="99806592"/>
      </c:lineChart>
      <c:catAx>
        <c:axId val="9980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804672"/>
        <c:crossesAt val="0"/>
        <c:auto val="1"/>
        <c:lblAlgn val="ctr"/>
        <c:lblOffset val="100"/>
        <c:noMultiLvlLbl val="0"/>
      </c:catAx>
      <c:valAx>
        <c:axId val="99804672"/>
        <c:scaling>
          <c:orientation val="minMax"/>
        </c:scaling>
        <c:delete val="0"/>
        <c:axPos val="l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79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minorGridlines>
          <c:spPr>
            <a:ln>
              <a:noFill/>
            </a:ln>
          </c:spPr>
        </c:minorGridlines>
        <c:numFmt formatCode="#,##0_)\K&quot;€&quot;;[Red]\(#,##0\)\K&quot;€&quot;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803136"/>
        <c:crosses val="autoZero"/>
        <c:crossBetween val="between"/>
        <c:majorUnit val="200000"/>
        <c:dispUnits>
          <c:builtInUnit val="thousands"/>
        </c:dispUnits>
      </c:valAx>
      <c:valAx>
        <c:axId val="99806592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816576"/>
        <c:crosses val="max"/>
        <c:crossBetween val="between"/>
      </c:valAx>
      <c:catAx>
        <c:axId val="99816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980659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1729957805907196"/>
          <c:y val="0.21292674970193187"/>
          <c:w val="0.26823387582881258"/>
          <c:h val="0.64473434697096621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fr-FR" sz="1200">
                <a:solidFill>
                  <a:sysClr val="windowText" lastClr="000000"/>
                </a:solidFill>
              </a:rPr>
              <a:t>Taux moyen de participation </a:t>
            </a:r>
            <a:r>
              <a:rPr lang="fr-FR" sz="1200"/>
              <a:t>des établissements</a:t>
            </a:r>
            <a:r>
              <a:rPr lang="fr-FR" sz="1200" baseline="0"/>
              <a:t> du GHT aux actions du PAAT</a:t>
            </a:r>
            <a:endParaRPr lang="fr-FR" sz="1200"/>
          </a:p>
        </c:rich>
      </c:tx>
      <c:layout>
        <c:manualLayout>
          <c:xMode val="edge"/>
          <c:yMode val="edge"/>
          <c:x val="6.3989654313659633E-2"/>
          <c:y val="2.993164979231998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9464366033725"/>
          <c:y val="0.3609376480223293"/>
          <c:w val="0.57150340705566249"/>
          <c:h val="0.49144910246436291"/>
        </c:manualLayout>
      </c:layout>
      <c:lineChart>
        <c:grouping val="stacked"/>
        <c:varyColors val="0"/>
        <c:ser>
          <c:idx val="1"/>
          <c:order val="0"/>
          <c:tx>
            <c:strRef>
              <c:f>'2emePARTIE'!$A$50</c:f>
              <c:strCache>
                <c:ptCount val="1"/>
                <c:pt idx="0">
                  <c:v>Taux moyen de participation</c:v>
                </c:pt>
              </c:strCache>
            </c:strRef>
          </c:tx>
          <c:spPr>
            <a:ln w="22225">
              <a:solidFill>
                <a:schemeClr val="accent4">
                  <a:lumMod val="75000"/>
                </a:schemeClr>
              </a:solidFill>
            </a:ln>
          </c:spPr>
          <c:marker>
            <c:symbol val="diamond"/>
            <c:size val="5"/>
            <c:spPr>
              <a:solidFill>
                <a:schemeClr val="accent2">
                  <a:lumMod val="75000"/>
                </a:schemeClr>
              </a:solidFill>
              <a:ln w="6350"/>
            </c:spPr>
          </c:marker>
          <c:dLbls>
            <c:txPr>
              <a:bodyPr/>
              <a:lstStyle/>
              <a:p>
                <a:pPr>
                  <a:defRPr sz="800" b="1">
                    <a:solidFill>
                      <a:schemeClr val="accent1">
                        <a:lumMod val="75000"/>
                      </a:schemeClr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'2emePARTIE'!$B$39:$D$39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'2emePARTIE'!$B$50:$D$50</c:f>
              <c:numCache>
                <c:formatCode>0%</c:formatCode>
                <c:ptCount val="3"/>
                <c:pt idx="0">
                  <c:v>0.5</c:v>
                </c:pt>
                <c:pt idx="1">
                  <c:v>0.6</c:v>
                </c:pt>
                <c:pt idx="2">
                  <c:v>0.25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49728"/>
        <c:axId val="99851264"/>
      </c:lineChart>
      <c:catAx>
        <c:axId val="9984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851264"/>
        <c:crosses val="autoZero"/>
        <c:auto val="1"/>
        <c:lblAlgn val="ctr"/>
        <c:lblOffset val="100"/>
        <c:noMultiLvlLbl val="0"/>
      </c:catAx>
      <c:valAx>
        <c:axId val="99851264"/>
        <c:scaling>
          <c:orientation val="minMax"/>
        </c:scaling>
        <c:delete val="0"/>
        <c:axPos val="l"/>
        <c:majorGridlines>
          <c:spPr>
            <a:ln w="3175"/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849728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65781188743812136"/>
          <c:y val="0.23358754170981127"/>
          <c:w val="0.30902625937803924"/>
          <c:h val="0.5285846440702775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5.xml"/><Relationship Id="rId2" Type="http://schemas.openxmlformats.org/officeDocument/2006/relationships/chart" Target="../charts/chart54.xml"/><Relationship Id="rId1" Type="http://schemas.openxmlformats.org/officeDocument/2006/relationships/chart" Target="../charts/chart53.xml"/><Relationship Id="rId5" Type="http://schemas.openxmlformats.org/officeDocument/2006/relationships/chart" Target="../charts/chart57.xml"/><Relationship Id="rId4" Type="http://schemas.openxmlformats.org/officeDocument/2006/relationships/chart" Target="../charts/chart56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9.xml"/><Relationship Id="rId1" Type="http://schemas.openxmlformats.org/officeDocument/2006/relationships/chart" Target="../charts/chart5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2.xml"/><Relationship Id="rId2" Type="http://schemas.openxmlformats.org/officeDocument/2006/relationships/chart" Target="../charts/chart61.xml"/><Relationship Id="rId1" Type="http://schemas.openxmlformats.org/officeDocument/2006/relationships/chart" Target="../charts/chart60.xml"/><Relationship Id="rId4" Type="http://schemas.openxmlformats.org/officeDocument/2006/relationships/chart" Target="../charts/chart63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6.xml"/><Relationship Id="rId2" Type="http://schemas.openxmlformats.org/officeDocument/2006/relationships/chart" Target="../charts/chart65.xml"/><Relationship Id="rId1" Type="http://schemas.openxmlformats.org/officeDocument/2006/relationships/chart" Target="../charts/chart64.xml"/><Relationship Id="rId5" Type="http://schemas.openxmlformats.org/officeDocument/2006/relationships/chart" Target="../charts/chart68.xml"/><Relationship Id="rId4" Type="http://schemas.openxmlformats.org/officeDocument/2006/relationships/chart" Target="../charts/chart67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13" Type="http://schemas.openxmlformats.org/officeDocument/2006/relationships/chart" Target="../charts/chart16.xml"/><Relationship Id="rId18" Type="http://schemas.openxmlformats.org/officeDocument/2006/relationships/chart" Target="../charts/chart21.xml"/><Relationship Id="rId26" Type="http://schemas.openxmlformats.org/officeDocument/2006/relationships/chart" Target="../charts/chart29.xml"/><Relationship Id="rId3" Type="http://schemas.openxmlformats.org/officeDocument/2006/relationships/chart" Target="../charts/chart8.xml"/><Relationship Id="rId21" Type="http://schemas.openxmlformats.org/officeDocument/2006/relationships/chart" Target="../charts/chart24.xml"/><Relationship Id="rId7" Type="http://schemas.openxmlformats.org/officeDocument/2006/relationships/chart" Target="../charts/chart12.xml"/><Relationship Id="rId12" Type="http://schemas.openxmlformats.org/officeDocument/2006/relationships/chart" Target="../charts/chart15.xml"/><Relationship Id="rId17" Type="http://schemas.openxmlformats.org/officeDocument/2006/relationships/chart" Target="../charts/chart20.xml"/><Relationship Id="rId25" Type="http://schemas.openxmlformats.org/officeDocument/2006/relationships/chart" Target="../charts/chart28.xml"/><Relationship Id="rId2" Type="http://schemas.openxmlformats.org/officeDocument/2006/relationships/chart" Target="../charts/chart7.xml"/><Relationship Id="rId16" Type="http://schemas.openxmlformats.org/officeDocument/2006/relationships/chart" Target="../charts/chart19.xml"/><Relationship Id="rId20" Type="http://schemas.openxmlformats.org/officeDocument/2006/relationships/chart" Target="../charts/chart23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11" Type="http://schemas.openxmlformats.org/officeDocument/2006/relationships/chart" Target="../charts/chart14.xml"/><Relationship Id="rId24" Type="http://schemas.openxmlformats.org/officeDocument/2006/relationships/chart" Target="../charts/chart27.xml"/><Relationship Id="rId5" Type="http://schemas.openxmlformats.org/officeDocument/2006/relationships/chart" Target="../charts/chart10.xml"/><Relationship Id="rId15" Type="http://schemas.openxmlformats.org/officeDocument/2006/relationships/chart" Target="../charts/chart18.xml"/><Relationship Id="rId23" Type="http://schemas.openxmlformats.org/officeDocument/2006/relationships/chart" Target="../charts/chart26.xml"/><Relationship Id="rId10" Type="http://schemas.openxmlformats.org/officeDocument/2006/relationships/image" Target="../media/image3.png"/><Relationship Id="rId19" Type="http://schemas.openxmlformats.org/officeDocument/2006/relationships/chart" Target="../charts/chart22.xml"/><Relationship Id="rId4" Type="http://schemas.openxmlformats.org/officeDocument/2006/relationships/chart" Target="../charts/chart9.xml"/><Relationship Id="rId9" Type="http://schemas.openxmlformats.org/officeDocument/2006/relationships/image" Target="../media/image2.png"/><Relationship Id="rId14" Type="http://schemas.openxmlformats.org/officeDocument/2006/relationships/chart" Target="../charts/chart17.xml"/><Relationship Id="rId22" Type="http://schemas.openxmlformats.org/officeDocument/2006/relationships/chart" Target="../charts/chart25.xml"/><Relationship Id="rId27" Type="http://schemas.openxmlformats.org/officeDocument/2006/relationships/chart" Target="../charts/chart30.xml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5" Type="http://schemas.openxmlformats.org/officeDocument/2006/relationships/chart" Target="../charts/chart42.xml"/><Relationship Id="rId4" Type="http://schemas.openxmlformats.org/officeDocument/2006/relationships/chart" Target="../charts/chart41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4" Type="http://schemas.openxmlformats.org/officeDocument/2006/relationships/chart" Target="../charts/chart4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5" Type="http://schemas.openxmlformats.org/officeDocument/2006/relationships/chart" Target="../charts/chart51.xml"/><Relationship Id="rId4" Type="http://schemas.openxmlformats.org/officeDocument/2006/relationships/chart" Target="../charts/chart5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470651</xdr:colOff>
      <xdr:row>1</xdr:row>
      <xdr:rowOff>78441</xdr:rowOff>
    </xdr:from>
    <xdr:to>
      <xdr:col>14</xdr:col>
      <xdr:colOff>67235</xdr:colOff>
      <xdr:row>12</xdr:row>
      <xdr:rowOff>56030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3272117</xdr:colOff>
      <xdr:row>22</xdr:row>
      <xdr:rowOff>174812</xdr:rowOff>
    </xdr:from>
    <xdr:to>
      <xdr:col>7</xdr:col>
      <xdr:colOff>1008529</xdr:colOff>
      <xdr:row>34</xdr:row>
      <xdr:rowOff>168089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89649</xdr:colOff>
      <xdr:row>22</xdr:row>
      <xdr:rowOff>179293</xdr:rowOff>
    </xdr:from>
    <xdr:to>
      <xdr:col>11</xdr:col>
      <xdr:colOff>369796</xdr:colOff>
      <xdr:row>33</xdr:row>
      <xdr:rowOff>100852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11205</xdr:colOff>
      <xdr:row>58</xdr:row>
      <xdr:rowOff>1</xdr:rowOff>
    </xdr:from>
    <xdr:to>
      <xdr:col>11</xdr:col>
      <xdr:colOff>291352</xdr:colOff>
      <xdr:row>68</xdr:row>
      <xdr:rowOff>112060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1098177</xdr:colOff>
      <xdr:row>38</xdr:row>
      <xdr:rowOff>67235</xdr:rowOff>
    </xdr:from>
    <xdr:to>
      <xdr:col>15</xdr:col>
      <xdr:colOff>571500</xdr:colOff>
      <xdr:row>55</xdr:row>
      <xdr:rowOff>11206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340179</xdr:colOff>
      <xdr:row>11</xdr:row>
      <xdr:rowOff>131988</xdr:rowOff>
    </xdr:from>
    <xdr:to>
      <xdr:col>10</xdr:col>
      <xdr:colOff>340179</xdr:colOff>
      <xdr:row>26</xdr:row>
      <xdr:rowOff>17688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340179</xdr:colOff>
      <xdr:row>28</xdr:row>
      <xdr:rowOff>149678</xdr:rowOff>
    </xdr:from>
    <xdr:to>
      <xdr:col>10</xdr:col>
      <xdr:colOff>340179</xdr:colOff>
      <xdr:row>43</xdr:row>
      <xdr:rowOff>35378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530679</xdr:colOff>
      <xdr:row>46</xdr:row>
      <xdr:rowOff>68035</xdr:rowOff>
    </xdr:from>
    <xdr:to>
      <xdr:col>10</xdr:col>
      <xdr:colOff>530679</xdr:colOff>
      <xdr:row>60</xdr:row>
      <xdr:rowOff>144235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585107</xdr:colOff>
      <xdr:row>64</xdr:row>
      <xdr:rowOff>136072</xdr:rowOff>
    </xdr:from>
    <xdr:to>
      <xdr:col>10</xdr:col>
      <xdr:colOff>585107</xdr:colOff>
      <xdr:row>79</xdr:row>
      <xdr:rowOff>21772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598714</xdr:colOff>
      <xdr:row>81</xdr:row>
      <xdr:rowOff>81643</xdr:rowOff>
    </xdr:from>
    <xdr:to>
      <xdr:col>11</xdr:col>
      <xdr:colOff>0</xdr:colOff>
      <xdr:row>96</xdr:row>
      <xdr:rowOff>76200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649940</xdr:colOff>
      <xdr:row>19</xdr:row>
      <xdr:rowOff>135591</xdr:rowOff>
    </xdr:from>
    <xdr:to>
      <xdr:col>10</xdr:col>
      <xdr:colOff>672353</xdr:colOff>
      <xdr:row>34</xdr:row>
      <xdr:rowOff>78443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33618</xdr:colOff>
      <xdr:row>36</xdr:row>
      <xdr:rowOff>169208</xdr:rowOff>
    </xdr:from>
    <xdr:to>
      <xdr:col>10</xdr:col>
      <xdr:colOff>112059</xdr:colOff>
      <xdr:row>51</xdr:row>
      <xdr:rowOff>54908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347383</xdr:colOff>
      <xdr:row>13</xdr:row>
      <xdr:rowOff>1118</xdr:rowOff>
    </xdr:from>
    <xdr:to>
      <xdr:col>10</xdr:col>
      <xdr:colOff>212912</xdr:colOff>
      <xdr:row>27</xdr:row>
      <xdr:rowOff>77318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246529</xdr:colOff>
      <xdr:row>28</xdr:row>
      <xdr:rowOff>156883</xdr:rowOff>
    </xdr:from>
    <xdr:to>
      <xdr:col>10</xdr:col>
      <xdr:colOff>112058</xdr:colOff>
      <xdr:row>43</xdr:row>
      <xdr:rowOff>42583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235323</xdr:colOff>
      <xdr:row>44</xdr:row>
      <xdr:rowOff>145677</xdr:rowOff>
    </xdr:from>
    <xdr:to>
      <xdr:col>10</xdr:col>
      <xdr:colOff>100852</xdr:colOff>
      <xdr:row>59</xdr:row>
      <xdr:rowOff>31377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235323</xdr:colOff>
      <xdr:row>62</xdr:row>
      <xdr:rowOff>67235</xdr:rowOff>
    </xdr:from>
    <xdr:to>
      <xdr:col>10</xdr:col>
      <xdr:colOff>100852</xdr:colOff>
      <xdr:row>76</xdr:row>
      <xdr:rowOff>143435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437029</xdr:colOff>
      <xdr:row>13</xdr:row>
      <xdr:rowOff>145678</xdr:rowOff>
    </xdr:from>
    <xdr:to>
      <xdr:col>7</xdr:col>
      <xdr:colOff>437028</xdr:colOff>
      <xdr:row>22</xdr:row>
      <xdr:rowOff>22412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773206</xdr:colOff>
      <xdr:row>13</xdr:row>
      <xdr:rowOff>134472</xdr:rowOff>
    </xdr:from>
    <xdr:to>
      <xdr:col>10</xdr:col>
      <xdr:colOff>593912</xdr:colOff>
      <xdr:row>23</xdr:row>
      <xdr:rowOff>89647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437030</xdr:colOff>
      <xdr:row>23</xdr:row>
      <xdr:rowOff>0</xdr:rowOff>
    </xdr:from>
    <xdr:to>
      <xdr:col>7</xdr:col>
      <xdr:colOff>336176</xdr:colOff>
      <xdr:row>32</xdr:row>
      <xdr:rowOff>67235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739588</xdr:colOff>
      <xdr:row>23</xdr:row>
      <xdr:rowOff>145676</xdr:rowOff>
    </xdr:from>
    <xdr:to>
      <xdr:col>10</xdr:col>
      <xdr:colOff>560294</xdr:colOff>
      <xdr:row>34</xdr:row>
      <xdr:rowOff>168088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324970</xdr:colOff>
      <xdr:row>36</xdr:row>
      <xdr:rowOff>0</xdr:rowOff>
    </xdr:from>
    <xdr:to>
      <xdr:col>8</xdr:col>
      <xdr:colOff>1086970</xdr:colOff>
      <xdr:row>48</xdr:row>
      <xdr:rowOff>168088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2</xdr:row>
      <xdr:rowOff>2</xdr:rowOff>
    </xdr:from>
    <xdr:to>
      <xdr:col>10</xdr:col>
      <xdr:colOff>76200</xdr:colOff>
      <xdr:row>10</xdr:row>
      <xdr:rowOff>9526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285751</xdr:colOff>
      <xdr:row>5</xdr:row>
      <xdr:rowOff>9526</xdr:rowOff>
    </xdr:from>
    <xdr:to>
      <xdr:col>15</xdr:col>
      <xdr:colOff>11206</xdr:colOff>
      <xdr:row>13</xdr:row>
      <xdr:rowOff>33617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114300</xdr:colOff>
      <xdr:row>36</xdr:row>
      <xdr:rowOff>114300</xdr:rowOff>
    </xdr:from>
    <xdr:to>
      <xdr:col>12</xdr:col>
      <xdr:colOff>733425</xdr:colOff>
      <xdr:row>47</xdr:row>
      <xdr:rowOff>76200</xdr:rowOff>
    </xdr:to>
    <xdr:graphicFrame macro="">
      <xdr:nvGraphicFramePr>
        <xdr:cNvPr id="26" name="Graphique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733425</xdr:colOff>
      <xdr:row>50</xdr:row>
      <xdr:rowOff>95250</xdr:rowOff>
    </xdr:from>
    <xdr:to>
      <xdr:col>14</xdr:col>
      <xdr:colOff>609599</xdr:colOff>
      <xdr:row>61</xdr:row>
      <xdr:rowOff>114301</xdr:rowOff>
    </xdr:to>
    <xdr:graphicFrame macro="">
      <xdr:nvGraphicFramePr>
        <xdr:cNvPr id="27" name="Graphique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600076</xdr:colOff>
      <xdr:row>56</xdr:row>
      <xdr:rowOff>123825</xdr:rowOff>
    </xdr:from>
    <xdr:to>
      <xdr:col>9</xdr:col>
      <xdr:colOff>476249</xdr:colOff>
      <xdr:row>65</xdr:row>
      <xdr:rowOff>161924</xdr:rowOff>
    </xdr:to>
    <xdr:graphicFrame macro="">
      <xdr:nvGraphicFramePr>
        <xdr:cNvPr id="28" name="Graphique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276224</xdr:colOff>
      <xdr:row>74</xdr:row>
      <xdr:rowOff>57151</xdr:rowOff>
    </xdr:from>
    <xdr:to>
      <xdr:col>15</xdr:col>
      <xdr:colOff>542925</xdr:colOff>
      <xdr:row>91</xdr:row>
      <xdr:rowOff>9525</xdr:rowOff>
    </xdr:to>
    <xdr:graphicFrame macro="">
      <xdr:nvGraphicFramePr>
        <xdr:cNvPr id="29" name="Graphique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549088</xdr:colOff>
      <xdr:row>13</xdr:row>
      <xdr:rowOff>145678</xdr:rowOff>
    </xdr:from>
    <xdr:to>
      <xdr:col>12</xdr:col>
      <xdr:colOff>257735</xdr:colOff>
      <xdr:row>27</xdr:row>
      <xdr:rowOff>112059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246530</xdr:colOff>
      <xdr:row>107</xdr:row>
      <xdr:rowOff>123266</xdr:rowOff>
    </xdr:from>
    <xdr:to>
      <xdr:col>14</xdr:col>
      <xdr:colOff>112059</xdr:colOff>
      <xdr:row>122</xdr:row>
      <xdr:rowOff>11206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22</xdr:col>
      <xdr:colOff>56030</xdr:colOff>
      <xdr:row>30</xdr:row>
      <xdr:rowOff>123265</xdr:rowOff>
    </xdr:from>
    <xdr:to>
      <xdr:col>26</xdr:col>
      <xdr:colOff>211868</xdr:colOff>
      <xdr:row>35</xdr:row>
      <xdr:rowOff>161738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23218589" y="5849471"/>
          <a:ext cx="3876191" cy="1495238"/>
        </a:xfrm>
        <a:prstGeom prst="rect">
          <a:avLst/>
        </a:prstGeom>
      </xdr:spPr>
    </xdr:pic>
    <xdr:clientData/>
  </xdr:twoCellAnchor>
  <xdr:twoCellAnchor editAs="oneCell">
    <xdr:from>
      <xdr:col>25</xdr:col>
      <xdr:colOff>112059</xdr:colOff>
      <xdr:row>42</xdr:row>
      <xdr:rowOff>100853</xdr:rowOff>
    </xdr:from>
    <xdr:to>
      <xdr:col>27</xdr:col>
      <xdr:colOff>549089</xdr:colOff>
      <xdr:row>58</xdr:row>
      <xdr:rowOff>14758</xdr:rowOff>
    </xdr:to>
    <xdr:pic>
      <xdr:nvPicPr>
        <xdr:cNvPr id="14" name="Image 13"/>
        <xdr:cNvPicPr>
          <a:picLocks noChangeAspect="1"/>
        </xdr:cNvPicPr>
      </xdr:nvPicPr>
      <xdr:blipFill rotWithShape="1">
        <a:blip xmlns:r="http://schemas.openxmlformats.org/officeDocument/2006/relationships" r:embed="rId10" cstate="print"/>
        <a:srcRect l="6769" r="2122"/>
        <a:stretch/>
      </xdr:blipFill>
      <xdr:spPr>
        <a:xfrm>
          <a:off x="25123588" y="8751794"/>
          <a:ext cx="1961030" cy="2961905"/>
        </a:xfrm>
        <a:prstGeom prst="rect">
          <a:avLst/>
        </a:prstGeom>
      </xdr:spPr>
    </xdr:pic>
    <xdr:clientData/>
  </xdr:twoCellAnchor>
  <xdr:twoCellAnchor>
    <xdr:from>
      <xdr:col>9</xdr:col>
      <xdr:colOff>414618</xdr:colOff>
      <xdr:row>129</xdr:row>
      <xdr:rowOff>67237</xdr:rowOff>
    </xdr:from>
    <xdr:to>
      <xdr:col>14</xdr:col>
      <xdr:colOff>459441</xdr:colOff>
      <xdr:row>140</xdr:row>
      <xdr:rowOff>11207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1</xdr:colOff>
      <xdr:row>150</xdr:row>
      <xdr:rowOff>190499</xdr:rowOff>
    </xdr:from>
    <xdr:to>
      <xdr:col>8</xdr:col>
      <xdr:colOff>627530</xdr:colOff>
      <xdr:row>166</xdr:row>
      <xdr:rowOff>67234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3100617</xdr:colOff>
      <xdr:row>181</xdr:row>
      <xdr:rowOff>173449</xdr:rowOff>
    </xdr:from>
    <xdr:to>
      <xdr:col>9</xdr:col>
      <xdr:colOff>488674</xdr:colOff>
      <xdr:row>195</xdr:row>
      <xdr:rowOff>139830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156881</xdr:colOff>
      <xdr:row>198</xdr:row>
      <xdr:rowOff>168089</xdr:rowOff>
    </xdr:from>
    <xdr:to>
      <xdr:col>15</xdr:col>
      <xdr:colOff>67235</xdr:colOff>
      <xdr:row>210</xdr:row>
      <xdr:rowOff>33617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0</xdr:colOff>
      <xdr:row>211</xdr:row>
      <xdr:rowOff>145675</xdr:rowOff>
    </xdr:from>
    <xdr:to>
      <xdr:col>14</xdr:col>
      <xdr:colOff>672354</xdr:colOff>
      <xdr:row>223</xdr:row>
      <xdr:rowOff>44823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</xdr:col>
      <xdr:colOff>809624</xdr:colOff>
      <xdr:row>226</xdr:row>
      <xdr:rowOff>133350</xdr:rowOff>
    </xdr:from>
    <xdr:to>
      <xdr:col>9</xdr:col>
      <xdr:colOff>304800</xdr:colOff>
      <xdr:row>235</xdr:row>
      <xdr:rowOff>161925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</xdr:col>
      <xdr:colOff>571499</xdr:colOff>
      <xdr:row>237</xdr:row>
      <xdr:rowOff>152399</xdr:rowOff>
    </xdr:from>
    <xdr:to>
      <xdr:col>8</xdr:col>
      <xdr:colOff>485775</xdr:colOff>
      <xdr:row>253</xdr:row>
      <xdr:rowOff>38100</xdr:rowOff>
    </xdr:to>
    <xdr:graphicFrame macro="">
      <xdr:nvGraphicFramePr>
        <xdr:cNvPr id="24" name="Graphique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</xdr:col>
      <xdr:colOff>523875</xdr:colOff>
      <xdr:row>254</xdr:row>
      <xdr:rowOff>71437</xdr:rowOff>
    </xdr:from>
    <xdr:to>
      <xdr:col>8</xdr:col>
      <xdr:colOff>485774</xdr:colOff>
      <xdr:row>267</xdr:row>
      <xdr:rowOff>161925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4</xdr:col>
      <xdr:colOff>695324</xdr:colOff>
      <xdr:row>274</xdr:row>
      <xdr:rowOff>114301</xdr:rowOff>
    </xdr:from>
    <xdr:to>
      <xdr:col>8</xdr:col>
      <xdr:colOff>333375</xdr:colOff>
      <xdr:row>284</xdr:row>
      <xdr:rowOff>38101</xdr:rowOff>
    </xdr:to>
    <xdr:graphicFrame macro="">
      <xdr:nvGraphicFramePr>
        <xdr:cNvPr id="20" name="Graphique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</xdr:col>
      <xdr:colOff>428623</xdr:colOff>
      <xdr:row>285</xdr:row>
      <xdr:rowOff>57149</xdr:rowOff>
    </xdr:from>
    <xdr:to>
      <xdr:col>8</xdr:col>
      <xdr:colOff>114299</xdr:colOff>
      <xdr:row>298</xdr:row>
      <xdr:rowOff>9525</xdr:rowOff>
    </xdr:to>
    <xdr:graphicFrame macro="">
      <xdr:nvGraphicFramePr>
        <xdr:cNvPr id="22" name="Graphique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</xdr:col>
      <xdr:colOff>904873</xdr:colOff>
      <xdr:row>298</xdr:row>
      <xdr:rowOff>95250</xdr:rowOff>
    </xdr:from>
    <xdr:to>
      <xdr:col>7</xdr:col>
      <xdr:colOff>761999</xdr:colOff>
      <xdr:row>311</xdr:row>
      <xdr:rowOff>0</xdr:rowOff>
    </xdr:to>
    <xdr:graphicFrame macro="">
      <xdr:nvGraphicFramePr>
        <xdr:cNvPr id="23" name="Graphique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200025</xdr:colOff>
      <xdr:row>313</xdr:row>
      <xdr:rowOff>66675</xdr:rowOff>
    </xdr:from>
    <xdr:to>
      <xdr:col>9</xdr:col>
      <xdr:colOff>190500</xdr:colOff>
      <xdr:row>327</xdr:row>
      <xdr:rowOff>123825</xdr:rowOff>
    </xdr:to>
    <xdr:graphicFrame macro="">
      <xdr:nvGraphicFramePr>
        <xdr:cNvPr id="25" name="Graphique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200025</xdr:colOff>
      <xdr:row>328</xdr:row>
      <xdr:rowOff>104776</xdr:rowOff>
    </xdr:from>
    <xdr:to>
      <xdr:col>9</xdr:col>
      <xdr:colOff>209550</xdr:colOff>
      <xdr:row>342</xdr:row>
      <xdr:rowOff>142876</xdr:rowOff>
    </xdr:to>
    <xdr:graphicFrame macro="">
      <xdr:nvGraphicFramePr>
        <xdr:cNvPr id="31" name="Graphique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4</xdr:col>
      <xdr:colOff>200025</xdr:colOff>
      <xdr:row>343</xdr:row>
      <xdr:rowOff>171450</xdr:rowOff>
    </xdr:from>
    <xdr:to>
      <xdr:col>9</xdr:col>
      <xdr:colOff>209550</xdr:colOff>
      <xdr:row>358</xdr:row>
      <xdr:rowOff>47625</xdr:rowOff>
    </xdr:to>
    <xdr:graphicFrame macro="">
      <xdr:nvGraphicFramePr>
        <xdr:cNvPr id="32" name="Graphique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4</xdr:col>
      <xdr:colOff>133350</xdr:colOff>
      <xdr:row>360</xdr:row>
      <xdr:rowOff>0</xdr:rowOff>
    </xdr:from>
    <xdr:to>
      <xdr:col>9</xdr:col>
      <xdr:colOff>142875</xdr:colOff>
      <xdr:row>374</xdr:row>
      <xdr:rowOff>66675</xdr:rowOff>
    </xdr:to>
    <xdr:graphicFrame macro="">
      <xdr:nvGraphicFramePr>
        <xdr:cNvPr id="33" name="Graphique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9</xdr:col>
      <xdr:colOff>733426</xdr:colOff>
      <xdr:row>378</xdr:row>
      <xdr:rowOff>180974</xdr:rowOff>
    </xdr:from>
    <xdr:to>
      <xdr:col>16</xdr:col>
      <xdr:colOff>657225</xdr:colOff>
      <xdr:row>391</xdr:row>
      <xdr:rowOff>133350</xdr:rowOff>
    </xdr:to>
    <xdr:graphicFrame macro="">
      <xdr:nvGraphicFramePr>
        <xdr:cNvPr id="36" name="Graphique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10</xdr:col>
      <xdr:colOff>28575</xdr:colOff>
      <xdr:row>396</xdr:row>
      <xdr:rowOff>19051</xdr:rowOff>
    </xdr:from>
    <xdr:to>
      <xdr:col>17</xdr:col>
      <xdr:colOff>180975</xdr:colOff>
      <xdr:row>409</xdr:row>
      <xdr:rowOff>152401</xdr:rowOff>
    </xdr:to>
    <xdr:graphicFrame macro="">
      <xdr:nvGraphicFramePr>
        <xdr:cNvPr id="38" name="Graphique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0.78983</cdr:x>
      <cdr:y>0.16302</cdr:y>
    </cdr:from>
    <cdr:to>
      <cdr:x>0.99329</cdr:x>
      <cdr:y>0.79644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619751" y="583855"/>
          <a:ext cx="1447671" cy="2268507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593912</xdr:colOff>
      <xdr:row>30</xdr:row>
      <xdr:rowOff>44442</xdr:rowOff>
    </xdr:from>
    <xdr:to>
      <xdr:col>13</xdr:col>
      <xdr:colOff>414618</xdr:colOff>
      <xdr:row>42</xdr:row>
      <xdr:rowOff>33618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3485028</xdr:colOff>
      <xdr:row>30</xdr:row>
      <xdr:rowOff>33618</xdr:rowOff>
    </xdr:from>
    <xdr:to>
      <xdr:col>8</xdr:col>
      <xdr:colOff>347381</xdr:colOff>
      <xdr:row>42</xdr:row>
      <xdr:rowOff>134471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703570</xdr:colOff>
      <xdr:row>44</xdr:row>
      <xdr:rowOff>44825</xdr:rowOff>
    </xdr:from>
    <xdr:to>
      <xdr:col>9</xdr:col>
      <xdr:colOff>1</xdr:colOff>
      <xdr:row>55</xdr:row>
      <xdr:rowOff>123266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-1</xdr:colOff>
      <xdr:row>138</xdr:row>
      <xdr:rowOff>1</xdr:rowOff>
    </xdr:from>
    <xdr:to>
      <xdr:col>11</xdr:col>
      <xdr:colOff>421822</xdr:colOff>
      <xdr:row>156</xdr:row>
      <xdr:rowOff>68037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986118</xdr:colOff>
      <xdr:row>43</xdr:row>
      <xdr:rowOff>76723</xdr:rowOff>
    </xdr:from>
    <xdr:to>
      <xdr:col>13</xdr:col>
      <xdr:colOff>377100</xdr:colOff>
      <xdr:row>53</xdr:row>
      <xdr:rowOff>179293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0.72034</cdr:x>
      <cdr:y>0.06701</cdr:y>
    </cdr:from>
    <cdr:to>
      <cdr:x>0.98298</cdr:x>
      <cdr:y>0.2732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3319343" y="145675"/>
          <a:ext cx="1210235" cy="44823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accent1">
              <a:shade val="95000"/>
              <a:satMod val="105000"/>
            </a:schemeClr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/>
            <a:t>Obj annuel CPOM :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145677</xdr:colOff>
      <xdr:row>11</xdr:row>
      <xdr:rowOff>112062</xdr:rowOff>
    </xdr:from>
    <xdr:to>
      <xdr:col>8</xdr:col>
      <xdr:colOff>627530</xdr:colOff>
      <xdr:row>21</xdr:row>
      <xdr:rowOff>112060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481853</xdr:colOff>
      <xdr:row>11</xdr:row>
      <xdr:rowOff>134471</xdr:rowOff>
    </xdr:from>
    <xdr:to>
      <xdr:col>14</xdr:col>
      <xdr:colOff>201706</xdr:colOff>
      <xdr:row>21</xdr:row>
      <xdr:rowOff>134469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106456</xdr:colOff>
      <xdr:row>44</xdr:row>
      <xdr:rowOff>107577</xdr:rowOff>
    </xdr:from>
    <xdr:to>
      <xdr:col>10</xdr:col>
      <xdr:colOff>246529</xdr:colOff>
      <xdr:row>55</xdr:row>
      <xdr:rowOff>156882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207307</xdr:colOff>
      <xdr:row>55</xdr:row>
      <xdr:rowOff>174812</xdr:rowOff>
    </xdr:from>
    <xdr:to>
      <xdr:col>9</xdr:col>
      <xdr:colOff>739589</xdr:colOff>
      <xdr:row>66</xdr:row>
      <xdr:rowOff>56029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733985</xdr:colOff>
      <xdr:row>45</xdr:row>
      <xdr:rowOff>73959</xdr:rowOff>
    </xdr:from>
    <xdr:to>
      <xdr:col>16</xdr:col>
      <xdr:colOff>733985</xdr:colOff>
      <xdr:row>59</xdr:row>
      <xdr:rowOff>112058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504265</xdr:colOff>
      <xdr:row>61</xdr:row>
      <xdr:rowOff>22411</xdr:rowOff>
    </xdr:from>
    <xdr:to>
      <xdr:col>13</xdr:col>
      <xdr:colOff>918882</xdr:colOff>
      <xdr:row>69</xdr:row>
      <xdr:rowOff>504265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235324</xdr:colOff>
      <xdr:row>70</xdr:row>
      <xdr:rowOff>78440</xdr:rowOff>
    </xdr:from>
    <xdr:to>
      <xdr:col>18</xdr:col>
      <xdr:colOff>739589</xdr:colOff>
      <xdr:row>88</xdr:row>
      <xdr:rowOff>100853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33618</xdr:colOff>
      <xdr:row>78</xdr:row>
      <xdr:rowOff>123264</xdr:rowOff>
    </xdr:from>
    <xdr:to>
      <xdr:col>12</xdr:col>
      <xdr:colOff>649942</xdr:colOff>
      <xdr:row>86</xdr:row>
      <xdr:rowOff>123264</xdr:rowOff>
    </xdr:to>
    <xdr:sp macro="" textlink="">
      <xdr:nvSpPr>
        <xdr:cNvPr id="2" name="Rectangle 1"/>
        <xdr:cNvSpPr/>
      </xdr:nvSpPr>
      <xdr:spPr>
        <a:xfrm>
          <a:off x="11239500" y="15296029"/>
          <a:ext cx="616324" cy="1524000"/>
        </a:xfrm>
        <a:prstGeom prst="rect">
          <a:avLst/>
        </a:prstGeom>
        <a:solidFill>
          <a:schemeClr val="accent1">
            <a:alpha val="1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100012</xdr:rowOff>
    </xdr:from>
    <xdr:to>
      <xdr:col>10</xdr:col>
      <xdr:colOff>238125</xdr:colOff>
      <xdr:row>21</xdr:row>
      <xdr:rowOff>176212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156882</xdr:colOff>
      <xdr:row>23</xdr:row>
      <xdr:rowOff>168088</xdr:rowOff>
    </xdr:from>
    <xdr:to>
      <xdr:col>10</xdr:col>
      <xdr:colOff>156882</xdr:colOff>
      <xdr:row>38</xdr:row>
      <xdr:rowOff>53788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268941</xdr:colOff>
      <xdr:row>40</xdr:row>
      <xdr:rowOff>134470</xdr:rowOff>
    </xdr:from>
    <xdr:to>
      <xdr:col>10</xdr:col>
      <xdr:colOff>268941</xdr:colOff>
      <xdr:row>55</xdr:row>
      <xdr:rowOff>20170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268943</xdr:colOff>
      <xdr:row>56</xdr:row>
      <xdr:rowOff>135588</xdr:rowOff>
    </xdr:from>
    <xdr:to>
      <xdr:col>11</xdr:col>
      <xdr:colOff>459442</xdr:colOff>
      <xdr:row>69</xdr:row>
      <xdr:rowOff>89647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680356</xdr:colOff>
      <xdr:row>9</xdr:row>
      <xdr:rowOff>172810</xdr:rowOff>
    </xdr:from>
    <xdr:to>
      <xdr:col>12</xdr:col>
      <xdr:colOff>380999</xdr:colOff>
      <xdr:row>26</xdr:row>
      <xdr:rowOff>122464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31</xdr:row>
      <xdr:rowOff>0</xdr:rowOff>
    </xdr:from>
    <xdr:to>
      <xdr:col>12</xdr:col>
      <xdr:colOff>462643</xdr:colOff>
      <xdr:row>47</xdr:row>
      <xdr:rowOff>140154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12</xdr:col>
      <xdr:colOff>462643</xdr:colOff>
      <xdr:row>67</xdr:row>
      <xdr:rowOff>140154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71</xdr:row>
      <xdr:rowOff>0</xdr:rowOff>
    </xdr:from>
    <xdr:to>
      <xdr:col>12</xdr:col>
      <xdr:colOff>462643</xdr:colOff>
      <xdr:row>87</xdr:row>
      <xdr:rowOff>140154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91</xdr:row>
      <xdr:rowOff>0</xdr:rowOff>
    </xdr:from>
    <xdr:to>
      <xdr:col>12</xdr:col>
      <xdr:colOff>462643</xdr:colOff>
      <xdr:row>107</xdr:row>
      <xdr:rowOff>140154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108857</xdr:colOff>
      <xdr:row>110</xdr:row>
      <xdr:rowOff>54428</xdr:rowOff>
    </xdr:from>
    <xdr:to>
      <xdr:col>12</xdr:col>
      <xdr:colOff>571500</xdr:colOff>
      <xdr:row>127</xdr:row>
      <xdr:rowOff>4082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O52"/>
  <sheetViews>
    <sheetView workbookViewId="0">
      <selection activeCell="E12" sqref="E12"/>
    </sheetView>
  </sheetViews>
  <sheetFormatPr baseColWidth="10" defaultRowHeight="15" x14ac:dyDescent="0.25"/>
  <cols>
    <col min="1" max="1" width="39.85546875" bestFit="1" customWidth="1"/>
    <col min="2" max="2" width="18" bestFit="1" customWidth="1"/>
    <col min="3" max="3" width="17.28515625" bestFit="1" customWidth="1"/>
    <col min="4" max="4" width="14.5703125" bestFit="1" customWidth="1"/>
    <col min="5" max="5" width="16.140625" bestFit="1" customWidth="1"/>
    <col min="6" max="6" width="16.140625" customWidth="1"/>
    <col min="7" max="7" width="18.140625" bestFit="1" customWidth="1"/>
    <col min="8" max="8" width="15.28515625" bestFit="1" customWidth="1"/>
    <col min="9" max="9" width="10.28515625" bestFit="1" customWidth="1"/>
    <col min="10" max="10" width="15.140625" bestFit="1" customWidth="1"/>
    <col min="11" max="13" width="15.140625" customWidth="1"/>
    <col min="14" max="14" width="21.42578125" bestFit="1" customWidth="1"/>
    <col min="15" max="15" width="12.140625" bestFit="1" customWidth="1"/>
    <col min="16" max="16" width="16.42578125" bestFit="1" customWidth="1"/>
  </cols>
  <sheetData>
    <row r="1" spans="1:13" x14ac:dyDescent="0.25">
      <c r="A1" s="5" t="s">
        <v>16</v>
      </c>
      <c r="I1" s="3"/>
      <c r="J1" s="3"/>
      <c r="K1" s="3"/>
      <c r="L1" s="3"/>
      <c r="M1" s="3"/>
    </row>
    <row r="2" spans="1:13" x14ac:dyDescent="0.25">
      <c r="A2" s="5"/>
      <c r="I2" s="3"/>
      <c r="J2" s="3"/>
      <c r="K2" s="3"/>
      <c r="L2" s="3"/>
      <c r="M2" s="3"/>
    </row>
    <row r="3" spans="1:13" x14ac:dyDescent="0.25">
      <c r="A3" s="5" t="s">
        <v>94</v>
      </c>
      <c r="B3" s="122" t="s">
        <v>124</v>
      </c>
      <c r="I3" s="3"/>
      <c r="J3" s="3"/>
      <c r="K3" s="3"/>
      <c r="L3" s="3"/>
      <c r="M3" s="3"/>
    </row>
    <row r="4" spans="1:13" x14ac:dyDescent="0.25">
      <c r="A4" s="5" t="s">
        <v>95</v>
      </c>
      <c r="B4" s="122" t="s">
        <v>71</v>
      </c>
      <c r="I4" s="3"/>
      <c r="J4" s="3"/>
      <c r="K4" s="3"/>
      <c r="L4" s="3"/>
      <c r="M4" s="3"/>
    </row>
    <row r="5" spans="1:13" x14ac:dyDescent="0.25">
      <c r="A5" s="5"/>
      <c r="I5" s="3"/>
      <c r="J5" s="3"/>
      <c r="K5" s="3"/>
      <c r="L5" s="3"/>
      <c r="M5" s="3"/>
    </row>
    <row r="6" spans="1:13" x14ac:dyDescent="0.25">
      <c r="A6" t="s">
        <v>17</v>
      </c>
      <c r="B6" s="14">
        <v>2017</v>
      </c>
    </row>
    <row r="7" spans="1:13" x14ac:dyDescent="0.25">
      <c r="A7" t="s">
        <v>85</v>
      </c>
      <c r="B7" s="14">
        <v>2015</v>
      </c>
      <c r="C7" s="6"/>
      <c r="D7" s="6"/>
      <c r="E7" s="6"/>
    </row>
    <row r="8" spans="1:13" x14ac:dyDescent="0.25">
      <c r="C8" s="6"/>
      <c r="D8" s="6"/>
      <c r="E8" s="6"/>
    </row>
    <row r="9" spans="1:13" x14ac:dyDescent="0.25">
      <c r="A9" t="s">
        <v>80</v>
      </c>
      <c r="B9" s="91">
        <v>500000</v>
      </c>
      <c r="C9" s="6"/>
      <c r="D9" s="6"/>
      <c r="E9" s="6"/>
    </row>
    <row r="10" spans="1:13" x14ac:dyDescent="0.25">
      <c r="C10" s="6"/>
      <c r="D10" s="6"/>
      <c r="E10" s="6"/>
    </row>
    <row r="11" spans="1:13" x14ac:dyDescent="0.25">
      <c r="A11" s="131" t="s">
        <v>112</v>
      </c>
      <c r="B11" s="88">
        <v>2.6700000000000002E-2</v>
      </c>
      <c r="C11" s="6"/>
      <c r="D11" s="6"/>
      <c r="E11" s="6"/>
    </row>
    <row r="12" spans="1:13" x14ac:dyDescent="0.25">
      <c r="A12" s="131" t="s">
        <v>115</v>
      </c>
      <c r="B12" s="88">
        <v>0.06</v>
      </c>
      <c r="C12" s="6"/>
      <c r="D12" s="6"/>
      <c r="E12" s="6"/>
    </row>
    <row r="13" spans="1:13" x14ac:dyDescent="0.25">
      <c r="A13" s="131" t="s">
        <v>117</v>
      </c>
      <c r="B13" s="91">
        <v>4500000</v>
      </c>
      <c r="C13" s="6"/>
      <c r="D13" s="6"/>
      <c r="E13" s="6"/>
    </row>
    <row r="14" spans="1:13" x14ac:dyDescent="0.25">
      <c r="A14" s="130" t="s">
        <v>78</v>
      </c>
      <c r="B14" s="88">
        <v>0.1</v>
      </c>
      <c r="C14" s="7"/>
      <c r="D14" s="7"/>
      <c r="E14" s="7"/>
    </row>
    <row r="21" spans="1:15" x14ac:dyDescent="0.25">
      <c r="A21" s="5"/>
      <c r="D21" s="7"/>
    </row>
    <row r="22" spans="1:15" x14ac:dyDescent="0.25">
      <c r="B22" s="6"/>
      <c r="C22" s="6"/>
      <c r="D22" s="7"/>
      <c r="E22" s="4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B23" s="6"/>
      <c r="C23" s="6"/>
      <c r="D23" s="7"/>
      <c r="E23" s="4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6"/>
      <c r="C24" s="6"/>
      <c r="D24" s="7"/>
      <c r="E24" s="4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B25" s="6"/>
      <c r="C25" s="6"/>
      <c r="D25" s="7"/>
      <c r="E25" s="4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B26" s="6"/>
      <c r="C26" s="6"/>
      <c r="D26" s="7"/>
      <c r="E26" s="4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B27" s="6"/>
      <c r="C27" s="6"/>
      <c r="D27" s="7"/>
      <c r="E27" s="4"/>
      <c r="J27" s="2"/>
      <c r="M27" s="2"/>
    </row>
    <row r="28" spans="1:15" x14ac:dyDescent="0.25">
      <c r="B28" s="6"/>
      <c r="C28" s="6"/>
      <c r="D28" s="7"/>
      <c r="E28" s="4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B29" s="6"/>
      <c r="C29" s="6"/>
      <c r="D29" s="7"/>
      <c r="E29" s="4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5">
      <c r="B30" s="6"/>
      <c r="C30" s="6"/>
      <c r="D30" s="7"/>
      <c r="E30" s="4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5">
      <c r="B31" s="6"/>
      <c r="C31" s="6"/>
      <c r="D31" s="7"/>
      <c r="E31" s="4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5">
      <c r="B32" s="6"/>
      <c r="C32" s="6"/>
      <c r="D32" s="7"/>
      <c r="E32" s="4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5">
      <c r="B33" s="6"/>
      <c r="C33" s="6"/>
      <c r="D33" s="7"/>
      <c r="E33" s="4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5">
      <c r="B34" s="6"/>
      <c r="C34" s="6"/>
      <c r="D34" s="7"/>
      <c r="E34" s="4"/>
    </row>
    <row r="35" spans="1:15" x14ac:dyDescent="0.25">
      <c r="B35" s="6"/>
      <c r="C35" s="6"/>
      <c r="D35" s="7"/>
      <c r="E35" s="4"/>
    </row>
    <row r="36" spans="1:15" x14ac:dyDescent="0.25">
      <c r="B36" s="6"/>
      <c r="C36" s="6"/>
      <c r="D36" s="7"/>
      <c r="E36" s="4"/>
    </row>
    <row r="37" spans="1:15" x14ac:dyDescent="0.25">
      <c r="D37" s="7"/>
      <c r="E37" s="4"/>
    </row>
    <row r="48" spans="1:15" x14ac:dyDescent="0.25">
      <c r="A48" s="5" t="s">
        <v>0</v>
      </c>
      <c r="D48" s="7" t="s">
        <v>12</v>
      </c>
    </row>
    <row r="49" spans="1:5" ht="75" x14ac:dyDescent="0.25">
      <c r="B49" s="6" t="s">
        <v>10</v>
      </c>
      <c r="C49" s="6" t="s">
        <v>7</v>
      </c>
      <c r="D49" s="7"/>
      <c r="E49" s="4" t="s">
        <v>11</v>
      </c>
    </row>
    <row r="50" spans="1:5" x14ac:dyDescent="0.25">
      <c r="A50" s="6"/>
      <c r="B50" s="6" t="s">
        <v>10</v>
      </c>
      <c r="C50" s="6" t="s">
        <v>7</v>
      </c>
      <c r="D50" s="7"/>
      <c r="E50" t="s">
        <v>13</v>
      </c>
    </row>
    <row r="51" spans="1:5" x14ac:dyDescent="0.25">
      <c r="A51" s="6"/>
      <c r="B51" s="6" t="s">
        <v>10</v>
      </c>
      <c r="C51" s="6" t="s">
        <v>7</v>
      </c>
      <c r="D51" s="7"/>
    </row>
    <row r="52" spans="1:5" x14ac:dyDescent="0.25">
      <c r="A52" s="6"/>
      <c r="B52" s="6" t="s">
        <v>10</v>
      </c>
      <c r="C52" s="6" t="s">
        <v>7</v>
      </c>
      <c r="D52" s="7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'1_PerfAchats'!$S$1:$V$1</xm:f>
          </x14:formula1>
          <xm:sqref>B3</xm:sqref>
        </x14:dataValidation>
        <x14:dataValidation type="list" allowBlank="1" showInputMessage="1" showErrorMessage="1">
          <x14:formula1>
            <xm:f>'1_PerfAchats'!$W$1:$X$1</xm:f>
          </x14:formula1>
          <xm:sqref>B4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C4"/>
  <sheetViews>
    <sheetView workbookViewId="0">
      <selection activeCell="E23" sqref="E23"/>
    </sheetView>
  </sheetViews>
  <sheetFormatPr baseColWidth="10" defaultRowHeight="15" x14ac:dyDescent="0.25"/>
  <cols>
    <col min="1" max="1" width="13" bestFit="1" customWidth="1"/>
    <col min="2" max="2" width="11.28515625" customWidth="1"/>
    <col min="3" max="3" width="13" bestFit="1" customWidth="1"/>
    <col min="4" max="4" width="53.7109375" customWidth="1"/>
  </cols>
  <sheetData>
    <row r="1" spans="1:3" x14ac:dyDescent="0.25">
      <c r="A1" s="13"/>
      <c r="B1" s="13"/>
      <c r="C1" s="11" t="s">
        <v>12</v>
      </c>
    </row>
    <row r="2" spans="1:3" x14ac:dyDescent="0.25">
      <c r="A2" s="10" t="s">
        <v>10</v>
      </c>
      <c r="B2" s="10" t="s">
        <v>7</v>
      </c>
      <c r="C2" s="11">
        <v>1</v>
      </c>
    </row>
    <row r="3" spans="1:3" x14ac:dyDescent="0.25">
      <c r="A3" s="10" t="s">
        <v>10</v>
      </c>
      <c r="B3" s="10" t="s">
        <v>7</v>
      </c>
      <c r="C3" s="11">
        <v>2</v>
      </c>
    </row>
    <row r="4" spans="1:3" x14ac:dyDescent="0.25">
      <c r="A4" s="10" t="s">
        <v>10</v>
      </c>
      <c r="B4" s="10" t="s">
        <v>7</v>
      </c>
      <c r="C4" s="11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O16"/>
  <sheetViews>
    <sheetView topLeftCell="D1" zoomScale="85" zoomScaleNormal="85" workbookViewId="0">
      <selection activeCell="E7" sqref="E7"/>
    </sheetView>
  </sheetViews>
  <sheetFormatPr baseColWidth="10" defaultRowHeight="15" outlineLevelCol="1" x14ac:dyDescent="0.25"/>
  <cols>
    <col min="1" max="1" width="13" hidden="1" customWidth="1" outlineLevel="1"/>
    <col min="2" max="2" width="11.28515625" hidden="1" customWidth="1" outlineLevel="1"/>
    <col min="3" max="3" width="13" hidden="1" customWidth="1" outlineLevel="1"/>
    <col min="4" max="4" width="53.7109375" customWidth="1" collapsed="1"/>
    <col min="5" max="5" width="11.7109375" bestFit="1" customWidth="1"/>
    <col min="6" max="7" width="13.28515625" bestFit="1" customWidth="1"/>
    <col min="8" max="8" width="14.28515625" bestFit="1" customWidth="1"/>
    <col min="9" max="14" width="13.28515625" bestFit="1" customWidth="1"/>
  </cols>
  <sheetData>
    <row r="1" spans="1:15" x14ac:dyDescent="0.25">
      <c r="A1" s="13"/>
      <c r="B1" s="13"/>
      <c r="C1" s="11" t="s">
        <v>12</v>
      </c>
      <c r="D1" s="18" t="s">
        <v>9</v>
      </c>
      <c r="E1" s="21" t="str">
        <f>'1_PerfAchats'!F1</f>
        <v>Janvier</v>
      </c>
      <c r="F1" s="21" t="e">
        <f>E1+1</f>
        <v>#VALUE!</v>
      </c>
      <c r="G1" s="21" t="e">
        <f t="shared" ref="G1:N1" si="0">F1+1</f>
        <v>#VALUE!</v>
      </c>
      <c r="H1" s="21" t="e">
        <f t="shared" si="0"/>
        <v>#VALUE!</v>
      </c>
      <c r="I1" s="21" t="e">
        <f t="shared" si="0"/>
        <v>#VALUE!</v>
      </c>
      <c r="J1" s="21" t="e">
        <f t="shared" si="0"/>
        <v>#VALUE!</v>
      </c>
      <c r="K1" s="21" t="e">
        <f t="shared" si="0"/>
        <v>#VALUE!</v>
      </c>
      <c r="L1" s="21" t="e">
        <f t="shared" si="0"/>
        <v>#VALUE!</v>
      </c>
      <c r="M1" s="21" t="e">
        <f t="shared" si="0"/>
        <v>#VALUE!</v>
      </c>
      <c r="N1" s="21" t="e">
        <f t="shared" si="0"/>
        <v>#VALUE!</v>
      </c>
    </row>
    <row r="2" spans="1:15" x14ac:dyDescent="0.25">
      <c r="A2" t="s">
        <v>41</v>
      </c>
      <c r="D2" s="60" t="s">
        <v>40</v>
      </c>
      <c r="E2" s="23"/>
      <c r="F2" s="23"/>
      <c r="G2" s="23"/>
      <c r="H2" s="23"/>
      <c r="I2" s="23"/>
      <c r="J2" s="23"/>
      <c r="K2" s="23"/>
      <c r="L2" s="23"/>
      <c r="M2" s="23"/>
      <c r="N2" s="24"/>
      <c r="O2" s="13"/>
    </row>
    <row r="3" spans="1:15" x14ac:dyDescent="0.25">
      <c r="A3" t="s">
        <v>41</v>
      </c>
      <c r="B3" s="10"/>
      <c r="C3" s="11"/>
      <c r="D3" s="61" t="s">
        <v>33</v>
      </c>
      <c r="E3" s="62">
        <f>'1_PerfAchats'!F4</f>
        <v>540958.00000000116</v>
      </c>
      <c r="F3" s="62">
        <f>'1_PerfAchats'!G4</f>
        <v>115388</v>
      </c>
      <c r="G3" s="62">
        <f>'1_PerfAchats'!H4</f>
        <v>186167</v>
      </c>
      <c r="H3" s="62">
        <f>'1_PerfAchats'!I4</f>
        <v>367710</v>
      </c>
      <c r="I3" s="62">
        <f>'1_PerfAchats'!J4</f>
        <v>236956</v>
      </c>
      <c r="J3" s="62">
        <f>'1_PerfAchats'!K4</f>
        <v>637989</v>
      </c>
      <c r="K3" s="62">
        <f>'1_PerfAchats'!L4</f>
        <v>584005</v>
      </c>
      <c r="L3" s="62">
        <f>'1_PerfAchats'!M4</f>
        <v>77490</v>
      </c>
      <c r="M3" s="62">
        <f>'1_PerfAchats'!P4</f>
        <v>973079</v>
      </c>
      <c r="N3" s="62">
        <f>'1_PerfAchats'!Q4</f>
        <v>274635</v>
      </c>
      <c r="O3" s="13"/>
    </row>
    <row r="4" spans="1:15" x14ac:dyDescent="0.25">
      <c r="A4" t="s">
        <v>41</v>
      </c>
      <c r="B4" s="10"/>
      <c r="C4" s="11"/>
      <c r="D4" s="61" t="s">
        <v>55</v>
      </c>
      <c r="E4" s="63">
        <f>'1_PerfAchats'!F14</f>
        <v>4.2469855445254549E-2</v>
      </c>
      <c r="F4" s="63">
        <f>'1_PerfAchats'!G14</f>
        <v>2.6382045131238006E-2</v>
      </c>
      <c r="G4" s="63">
        <f>'1_PerfAchats'!H14</f>
        <v>2.4746435922024204E-2</v>
      </c>
      <c r="H4" s="63">
        <f>'1_PerfAchats'!I14</f>
        <v>2.8145693593039079E-2</v>
      </c>
      <c r="I4" s="63">
        <f>'1_PerfAchats'!J14</f>
        <v>2.6827937438536977E-2</v>
      </c>
      <c r="J4" s="63">
        <f>'1_PerfAchats'!K14</f>
        <v>3.2722759618641253E-2</v>
      </c>
      <c r="K4" s="63">
        <f>'1_PerfAchats'!L14</f>
        <v>3.5426364901381409E-2</v>
      </c>
      <c r="L4" s="63">
        <f>'1_PerfAchats'!M14</f>
        <v>3.2066993237517431E-2</v>
      </c>
      <c r="M4" s="63">
        <f>'1_PerfAchats'!P14</f>
        <v>3.9840395095809514E-2</v>
      </c>
      <c r="N4" s="63">
        <f>'1_PerfAchats'!Q14</f>
        <v>3.8461538461538464E-2</v>
      </c>
      <c r="O4" s="13"/>
    </row>
    <row r="5" spans="1:15" x14ac:dyDescent="0.25">
      <c r="B5" s="10"/>
      <c r="C5" s="11"/>
      <c r="D5" s="61" t="s">
        <v>56</v>
      </c>
      <c r="E5" s="63">
        <f>'1_PerfAchats'!F15</f>
        <v>5.2871073309431131E-2</v>
      </c>
      <c r="F5" s="63">
        <f>'1_PerfAchats'!G15</f>
        <v>3.2986326886917661E-2</v>
      </c>
      <c r="G5" s="63">
        <f>'1_PerfAchats'!H15</f>
        <v>3.1711775610712367E-2</v>
      </c>
      <c r="H5" s="63">
        <f>'1_PerfAchats'!I15</f>
        <v>3.6672978610169042E-2</v>
      </c>
      <c r="I5" s="63">
        <f>'1_PerfAchats'!J15</f>
        <v>3.4891458552121397E-2</v>
      </c>
      <c r="J5" s="63">
        <f>'1_PerfAchats'!K15</f>
        <v>4.2752275098914883E-2</v>
      </c>
      <c r="K5" s="63">
        <f>'1_PerfAchats'!L15</f>
        <v>4.6085513007462046E-2</v>
      </c>
      <c r="L5" s="63">
        <f>'1_PerfAchats'!M15</f>
        <v>4.1803216624836784E-2</v>
      </c>
      <c r="M5" s="63">
        <f>'1_PerfAchats'!P15</f>
        <v>5.1847504840921113E-2</v>
      </c>
      <c r="N5" s="63">
        <f>'1_PerfAchats'!Q15</f>
        <v>5.000000000000001E-2</v>
      </c>
      <c r="O5" s="13"/>
    </row>
    <row r="6" spans="1:15" x14ac:dyDescent="0.25">
      <c r="A6" s="10" t="s">
        <v>10</v>
      </c>
      <c r="B6" s="10"/>
      <c r="C6" s="11"/>
      <c r="D6" s="61" t="s">
        <v>34</v>
      </c>
      <c r="E6" s="63">
        <f>'1_PerfAchats'!F27</f>
        <v>0.12021288888888915</v>
      </c>
      <c r="F6" s="63">
        <f>'1_PerfAchats'!G27</f>
        <v>0.14585466666666694</v>
      </c>
      <c r="G6" s="63">
        <f>'1_PerfAchats'!H27</f>
        <v>0.18722511111111137</v>
      </c>
      <c r="H6" s="63">
        <f>'1_PerfAchats'!I27</f>
        <v>0.2689384444444447</v>
      </c>
      <c r="I6" s="63">
        <f>'1_PerfAchats'!J27</f>
        <v>0.32159533333333357</v>
      </c>
      <c r="J6" s="63">
        <f>'1_PerfAchats'!K27</f>
        <v>0.46337066666666693</v>
      </c>
      <c r="K6" s="63">
        <f>'1_PerfAchats'!L27</f>
        <v>0.59314955555555571</v>
      </c>
      <c r="L6" s="63">
        <f>'1_PerfAchats'!M27</f>
        <v>0.61036955555555572</v>
      </c>
      <c r="M6" s="63">
        <f>'1_PerfAchats'!P27</f>
        <v>1.0500811111111112</v>
      </c>
      <c r="N6" s="63">
        <f>'1_PerfAchats'!Q27</f>
        <v>1.1111111111111114</v>
      </c>
      <c r="O6" s="13"/>
    </row>
    <row r="7" spans="1:15" x14ac:dyDescent="0.25">
      <c r="A7" s="10" t="s">
        <v>10</v>
      </c>
      <c r="D7" s="61" t="s">
        <v>35</v>
      </c>
      <c r="E7" s="62" t="e">
        <f>'1_PerfAchats'!F22</f>
        <v>#NAME?</v>
      </c>
      <c r="F7" s="62" t="e">
        <f>'1_PerfAchats'!G22</f>
        <v>#NAME?</v>
      </c>
      <c r="G7" s="62" t="e">
        <f>'1_PerfAchats'!H22</f>
        <v>#NAME?</v>
      </c>
      <c r="H7" s="62" t="e">
        <f>'1_PerfAchats'!I22</f>
        <v>#NAME?</v>
      </c>
      <c r="I7" s="62" t="e">
        <f>'1_PerfAchats'!J22</f>
        <v>#NAME?</v>
      </c>
      <c r="J7" s="62" t="e">
        <f>'1_PerfAchats'!K22</f>
        <v>#NAME?</v>
      </c>
      <c r="K7" s="62" t="e">
        <f>'1_PerfAchats'!L22</f>
        <v>#NAME?</v>
      </c>
      <c r="L7" s="62" t="e">
        <f>'1_PerfAchats'!M22</f>
        <v>#NAME?</v>
      </c>
      <c r="M7" s="62" t="e">
        <f>'1_PerfAchats'!P22</f>
        <v>#NAME?</v>
      </c>
      <c r="N7" s="62" t="e">
        <f>'1_PerfAchats'!Q22</f>
        <v>#NAME?</v>
      </c>
      <c r="O7" s="13"/>
    </row>
    <row r="8" spans="1:15" x14ac:dyDescent="0.25">
      <c r="A8" s="10" t="s">
        <v>10</v>
      </c>
      <c r="D8" s="61" t="s">
        <v>36</v>
      </c>
      <c r="E8" s="63" t="e">
        <f>'1_PerfAchats'!F23</f>
        <v>#NAME?</v>
      </c>
      <c r="F8" s="63" t="e">
        <f>'1_PerfAchats'!G23</f>
        <v>#NAME?</v>
      </c>
      <c r="G8" s="63" t="e">
        <f>'1_PerfAchats'!H23</f>
        <v>#NAME?</v>
      </c>
      <c r="H8" s="63" t="e">
        <f>'1_PerfAchats'!I23</f>
        <v>#NAME?</v>
      </c>
      <c r="I8" s="63" t="e">
        <f>'1_PerfAchats'!J23</f>
        <v>#NAME?</v>
      </c>
      <c r="J8" s="63" t="e">
        <f>'1_PerfAchats'!K23</f>
        <v>#NAME?</v>
      </c>
      <c r="K8" s="63" t="e">
        <f>'1_PerfAchats'!L23</f>
        <v>#NAME?</v>
      </c>
      <c r="L8" s="63" t="e">
        <f>'1_PerfAchats'!M23</f>
        <v>#NAME?</v>
      </c>
      <c r="M8" s="63" t="e">
        <f>'1_PerfAchats'!P23</f>
        <v>#NAME?</v>
      </c>
      <c r="N8" s="63" t="e">
        <f>'1_PerfAchats'!Q23</f>
        <v>#NAME?</v>
      </c>
      <c r="O8" s="13"/>
    </row>
    <row r="9" spans="1:15" x14ac:dyDescent="0.25">
      <c r="A9" s="10" t="s">
        <v>10</v>
      </c>
      <c r="D9" s="61" t="s">
        <v>53</v>
      </c>
      <c r="E9" s="64" t="e">
        <f>'1_PerfAchats'!#REF!</f>
        <v>#REF!</v>
      </c>
      <c r="F9" s="64" t="e">
        <f>'1_PerfAchats'!#REF!</f>
        <v>#REF!</v>
      </c>
      <c r="G9" s="64" t="e">
        <f>'1_PerfAchats'!#REF!</f>
        <v>#REF!</v>
      </c>
      <c r="H9" s="64" t="e">
        <f>'1_PerfAchats'!#REF!</f>
        <v>#REF!</v>
      </c>
      <c r="I9" s="64" t="e">
        <f>'1_PerfAchats'!#REF!</f>
        <v>#REF!</v>
      </c>
      <c r="J9" s="65" t="e">
        <f>'1_PerfAchats'!#REF!</f>
        <v>#REF!</v>
      </c>
      <c r="K9" s="65" t="e">
        <f>'1_PerfAchats'!#REF!</f>
        <v>#REF!</v>
      </c>
      <c r="L9" s="65" t="e">
        <f>'1_PerfAchats'!#REF!</f>
        <v>#REF!</v>
      </c>
      <c r="M9" s="65" t="e">
        <f>'1_PerfAchats'!#REF!</f>
        <v>#REF!</v>
      </c>
      <c r="N9" s="66" t="e">
        <f>'1_PerfAchats'!#REF!</f>
        <v>#REF!</v>
      </c>
      <c r="O9" s="13"/>
    </row>
    <row r="10" spans="1:15" x14ac:dyDescent="0.25">
      <c r="A10" s="10" t="s">
        <v>10</v>
      </c>
      <c r="D10" s="61" t="s">
        <v>54</v>
      </c>
      <c r="E10" s="62" t="e">
        <f>'1_PerfAchats'!F20</f>
        <v>#NAME?</v>
      </c>
      <c r="F10" s="62" t="e">
        <f>'1_PerfAchats'!G20</f>
        <v>#NAME?</v>
      </c>
      <c r="G10" s="62" t="e">
        <f>'1_PerfAchats'!H20</f>
        <v>#NAME?</v>
      </c>
      <c r="H10" s="62" t="e">
        <f>'1_PerfAchats'!I20</f>
        <v>#NAME?</v>
      </c>
      <c r="I10" s="62" t="e">
        <f>'1_PerfAchats'!J20</f>
        <v>#NAME?</v>
      </c>
      <c r="J10" s="62" t="e">
        <f>'1_PerfAchats'!K20</f>
        <v>#NAME?</v>
      </c>
      <c r="K10" s="62" t="e">
        <f>'1_PerfAchats'!L20</f>
        <v>#NAME?</v>
      </c>
      <c r="L10" s="62" t="e">
        <f>'1_PerfAchats'!M20</f>
        <v>#NAME?</v>
      </c>
      <c r="M10" s="62" t="e">
        <f>'1_PerfAchats'!P20</f>
        <v>#NAME?</v>
      </c>
      <c r="N10" s="62" t="e">
        <f>'1_PerfAchats'!Q20</f>
        <v>#NAME?</v>
      </c>
      <c r="O10" s="13"/>
    </row>
    <row r="11" spans="1:15" x14ac:dyDescent="0.25">
      <c r="A11" s="10"/>
      <c r="D11" s="61" t="e">
        <f>'1_PerfAchats'!#REF!</f>
        <v>#REF!</v>
      </c>
      <c r="E11" s="62" t="e">
        <f>'1_PerfAchats'!#REF!</f>
        <v>#REF!</v>
      </c>
      <c r="F11" s="62" t="e">
        <f>'1_PerfAchats'!#REF!</f>
        <v>#REF!</v>
      </c>
      <c r="G11" s="62" t="e">
        <f>'1_PerfAchats'!#REF!</f>
        <v>#REF!</v>
      </c>
      <c r="H11" s="62" t="e">
        <f>'1_PerfAchats'!#REF!</f>
        <v>#REF!</v>
      </c>
      <c r="I11" s="62" t="e">
        <f>'1_PerfAchats'!#REF!</f>
        <v>#REF!</v>
      </c>
      <c r="J11" s="62" t="e">
        <f>'1_PerfAchats'!#REF!</f>
        <v>#REF!</v>
      </c>
      <c r="K11" s="62" t="e">
        <f>'1_PerfAchats'!#REF!</f>
        <v>#REF!</v>
      </c>
      <c r="L11" s="62" t="e">
        <f>'1_PerfAchats'!#REF!</f>
        <v>#REF!</v>
      </c>
      <c r="M11" s="62" t="e">
        <f>'1_PerfAchats'!#REF!</f>
        <v>#REF!</v>
      </c>
      <c r="N11" s="62" t="e">
        <f>'1_PerfAchats'!#REF!</f>
        <v>#REF!</v>
      </c>
      <c r="O11" s="13"/>
    </row>
    <row r="12" spans="1:15" x14ac:dyDescent="0.25">
      <c r="A12" s="10"/>
      <c r="D12" s="61" t="str">
        <f>'1_PerfAchats'!D8</f>
        <v>% Gains investissement / Gains total</v>
      </c>
      <c r="E12" s="62">
        <f>'1_PerfAchats'!F8</f>
        <v>0.12</v>
      </c>
      <c r="F12" s="62">
        <f>'1_PerfAchats'!G8</f>
        <v>0.09</v>
      </c>
      <c r="G12" s="62">
        <f>'1_PerfAchats'!H8</f>
        <v>0.11</v>
      </c>
      <c r="H12" s="62">
        <f>'1_PerfAchats'!I8</f>
        <v>0.11</v>
      </c>
      <c r="I12" s="62">
        <f>'1_PerfAchats'!J8</f>
        <v>0.08</v>
      </c>
      <c r="J12" s="62">
        <f>'1_PerfAchats'!K8</f>
        <v>0.13</v>
      </c>
      <c r="K12" s="62">
        <f>'1_PerfAchats'!L8</f>
        <v>0.14000000000000001</v>
      </c>
      <c r="L12" s="62">
        <f>'1_PerfAchats'!M8</f>
        <v>0.14000000000000001</v>
      </c>
      <c r="M12" s="62">
        <f>'1_PerfAchats'!P8</f>
        <v>0.09</v>
      </c>
      <c r="N12" s="62">
        <f>'1_PerfAchats'!Q8</f>
        <v>0.14000000000000001</v>
      </c>
      <c r="O12" s="13"/>
    </row>
    <row r="13" spans="1:15" x14ac:dyDescent="0.25">
      <c r="A13" s="10" t="s">
        <v>10</v>
      </c>
      <c r="D13" s="61" t="s">
        <v>37</v>
      </c>
      <c r="E13" s="67" t="e">
        <f>E11/E12</f>
        <v>#REF!</v>
      </c>
      <c r="F13" s="67" t="e">
        <f t="shared" ref="F13:N13" si="1">F11/F12</f>
        <v>#REF!</v>
      </c>
      <c r="G13" s="67" t="e">
        <f t="shared" si="1"/>
        <v>#REF!</v>
      </c>
      <c r="H13" s="67" t="e">
        <f t="shared" si="1"/>
        <v>#REF!</v>
      </c>
      <c r="I13" s="67" t="e">
        <f t="shared" si="1"/>
        <v>#REF!</v>
      </c>
      <c r="J13" s="67" t="e">
        <f t="shared" si="1"/>
        <v>#REF!</v>
      </c>
      <c r="K13" s="67" t="e">
        <f t="shared" si="1"/>
        <v>#REF!</v>
      </c>
      <c r="L13" s="67" t="e">
        <f t="shared" si="1"/>
        <v>#REF!</v>
      </c>
      <c r="M13" s="67" t="e">
        <f t="shared" si="1"/>
        <v>#REF!</v>
      </c>
      <c r="N13" s="67" t="e">
        <f t="shared" si="1"/>
        <v>#REF!</v>
      </c>
      <c r="O13" s="13"/>
    </row>
    <row r="14" spans="1:15" x14ac:dyDescent="0.25">
      <c r="A14" s="10" t="s">
        <v>10</v>
      </c>
      <c r="D14" s="61" t="s">
        <v>14</v>
      </c>
      <c r="E14" s="63" t="e">
        <f>'2_Gouvernance'!#REF!</f>
        <v>#REF!</v>
      </c>
      <c r="F14" s="63" t="e">
        <f>'2_Gouvernance'!#REF!</f>
        <v>#REF!</v>
      </c>
      <c r="G14" s="63" t="e">
        <f>'2_Gouvernance'!#REF!</f>
        <v>#REF!</v>
      </c>
      <c r="H14" s="63" t="e">
        <f>'2_Gouvernance'!#REF!</f>
        <v>#REF!</v>
      </c>
      <c r="I14" s="63" t="e">
        <f>'2_Gouvernance'!#REF!</f>
        <v>#REF!</v>
      </c>
      <c r="J14" s="63" t="e">
        <f>'2_Gouvernance'!#REF!</f>
        <v>#REF!</v>
      </c>
      <c r="K14" s="63" t="e">
        <f>'2_Gouvernance'!#REF!</f>
        <v>#REF!</v>
      </c>
      <c r="L14" s="63" t="e">
        <f>'2_Gouvernance'!#REF!</f>
        <v>#REF!</v>
      </c>
      <c r="M14" s="63" t="e">
        <f>'2_Gouvernance'!#REF!</f>
        <v>#REF!</v>
      </c>
      <c r="N14" s="63" t="e">
        <f>'2_Gouvernance'!#REF!</f>
        <v>#REF!</v>
      </c>
      <c r="O14" s="13"/>
    </row>
    <row r="15" spans="1:15" x14ac:dyDescent="0.25">
      <c r="A15" s="10" t="s">
        <v>10</v>
      </c>
      <c r="D15" s="61" t="s">
        <v>38</v>
      </c>
      <c r="E15" s="62" t="e">
        <f>'3_ProcessusAchats'!#REF!</f>
        <v>#REF!</v>
      </c>
      <c r="F15" s="62" t="e">
        <f>'3_ProcessusAchats'!#REF!</f>
        <v>#REF!</v>
      </c>
      <c r="G15" s="62" t="e">
        <f>'3_ProcessusAchats'!#REF!</f>
        <v>#REF!</v>
      </c>
      <c r="H15" s="62" t="e">
        <f>'3_ProcessusAchats'!#REF!</f>
        <v>#REF!</v>
      </c>
      <c r="I15" s="62" t="e">
        <f>'3_ProcessusAchats'!#REF!</f>
        <v>#REF!</v>
      </c>
      <c r="J15" s="62" t="e">
        <f>'3_ProcessusAchats'!#REF!</f>
        <v>#REF!</v>
      </c>
      <c r="K15" s="62" t="e">
        <f>'3_ProcessusAchats'!#REF!</f>
        <v>#REF!</v>
      </c>
      <c r="L15" s="62" t="e">
        <f>'3_ProcessusAchats'!#REF!</f>
        <v>#REF!</v>
      </c>
      <c r="M15" s="62" t="e">
        <f>'3_ProcessusAchats'!#REF!</f>
        <v>#REF!</v>
      </c>
      <c r="N15" s="62" t="e">
        <f>'3_ProcessusAchats'!#REF!</f>
        <v>#REF!</v>
      </c>
      <c r="O15" s="13"/>
    </row>
    <row r="16" spans="1:15" x14ac:dyDescent="0.25">
      <c r="D16" s="68" t="s">
        <v>39</v>
      </c>
      <c r="E16" s="69" t="e">
        <f>'3_ProcessusAchats'!#REF!</f>
        <v>#REF!</v>
      </c>
      <c r="F16" s="69" t="e">
        <f>'3_ProcessusAchats'!#REF!</f>
        <v>#REF!</v>
      </c>
      <c r="G16" s="69" t="e">
        <f>'3_ProcessusAchats'!#REF!</f>
        <v>#REF!</v>
      </c>
      <c r="H16" s="69" t="e">
        <f>'3_ProcessusAchats'!#REF!</f>
        <v>#REF!</v>
      </c>
      <c r="I16" s="69" t="e">
        <f>'3_ProcessusAchats'!#REF!</f>
        <v>#REF!</v>
      </c>
      <c r="J16" s="69" t="e">
        <f>'3_ProcessusAchats'!#REF!</f>
        <v>#REF!</v>
      </c>
      <c r="K16" s="69" t="e">
        <f>'3_ProcessusAchats'!#REF!</f>
        <v>#REF!</v>
      </c>
      <c r="L16" s="69" t="e">
        <f>'3_ProcessusAchats'!#REF!</f>
        <v>#REF!</v>
      </c>
      <c r="M16" s="69" t="e">
        <f>'3_ProcessusAchats'!#REF!</f>
        <v>#REF!</v>
      </c>
      <c r="N16" s="69" t="e">
        <f>'3_ProcessusAchats'!#REF!</f>
        <v>#REF!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1"/>
  <dimension ref="A1:N13"/>
  <sheetViews>
    <sheetView topLeftCell="D1" zoomScale="85" zoomScaleNormal="85" workbookViewId="0">
      <selection activeCell="M58" sqref="M58"/>
    </sheetView>
  </sheetViews>
  <sheetFormatPr baseColWidth="10" defaultRowHeight="15" outlineLevelCol="1" x14ac:dyDescent="0.25"/>
  <cols>
    <col min="1" max="1" width="13" hidden="1" customWidth="1" outlineLevel="1"/>
    <col min="2" max="2" width="11.28515625" hidden="1" customWidth="1" outlineLevel="1"/>
    <col min="3" max="3" width="13" hidden="1" customWidth="1" outlineLevel="1"/>
    <col min="4" max="4" width="53.7109375" customWidth="1" collapsed="1"/>
    <col min="5" max="11" width="11.7109375" bestFit="1" customWidth="1"/>
    <col min="12" max="12" width="10.7109375" bestFit="1" customWidth="1"/>
    <col min="13" max="14" width="13.28515625" bestFit="1" customWidth="1"/>
    <col min="15" max="15" width="21.85546875" customWidth="1"/>
  </cols>
  <sheetData>
    <row r="1" spans="1:14" x14ac:dyDescent="0.25">
      <c r="A1" s="13"/>
      <c r="B1" s="13"/>
      <c r="C1" s="11" t="s">
        <v>12</v>
      </c>
      <c r="D1" s="18" t="s">
        <v>9</v>
      </c>
      <c r="E1" s="19">
        <f>MEMO!B6-2</f>
        <v>2015</v>
      </c>
      <c r="F1" s="20">
        <f>E1+1</f>
        <v>2016</v>
      </c>
      <c r="G1" s="20">
        <f t="shared" ref="G1:N1" si="0">F1+1</f>
        <v>2017</v>
      </c>
      <c r="H1" s="20">
        <f t="shared" si="0"/>
        <v>2018</v>
      </c>
      <c r="I1" s="20">
        <f t="shared" si="0"/>
        <v>2019</v>
      </c>
      <c r="J1" s="20">
        <f t="shared" si="0"/>
        <v>2020</v>
      </c>
      <c r="K1" s="20">
        <f t="shared" si="0"/>
        <v>2021</v>
      </c>
      <c r="L1" s="20">
        <f t="shared" si="0"/>
        <v>2022</v>
      </c>
      <c r="M1" s="20">
        <f t="shared" si="0"/>
        <v>2023</v>
      </c>
      <c r="N1" s="20">
        <f t="shared" si="0"/>
        <v>2024</v>
      </c>
    </row>
    <row r="2" spans="1:14" x14ac:dyDescent="0.25">
      <c r="A2" t="s">
        <v>41</v>
      </c>
      <c r="D2" s="78" t="s">
        <v>42</v>
      </c>
      <c r="E2" s="70">
        <f>'1_PerfAchats'!F4</f>
        <v>540958.00000000116</v>
      </c>
      <c r="F2" s="70">
        <f>'1_PerfAchats'!G4</f>
        <v>115388</v>
      </c>
      <c r="G2" s="70">
        <f>'1_PerfAchats'!H4</f>
        <v>186167</v>
      </c>
      <c r="H2" s="70">
        <f>'1_PerfAchats'!I4</f>
        <v>367710</v>
      </c>
      <c r="I2" s="70">
        <f>'1_PerfAchats'!J4</f>
        <v>236956</v>
      </c>
      <c r="J2" s="70">
        <f>'1_PerfAchats'!K4</f>
        <v>637989</v>
      </c>
      <c r="K2" s="70">
        <f>'1_PerfAchats'!L4</f>
        <v>584005</v>
      </c>
      <c r="L2" s="70">
        <f>'1_PerfAchats'!M4</f>
        <v>77490</v>
      </c>
      <c r="M2" s="70">
        <f>'1_PerfAchats'!P4</f>
        <v>973079</v>
      </c>
      <c r="N2" s="71">
        <f>'1_PerfAchats'!Q4</f>
        <v>274635</v>
      </c>
    </row>
    <row r="3" spans="1:14" x14ac:dyDescent="0.25">
      <c r="A3" t="s">
        <v>41</v>
      </c>
      <c r="B3" s="10"/>
      <c r="C3" s="11"/>
      <c r="D3" s="79" t="s">
        <v>43</v>
      </c>
      <c r="E3" s="72">
        <f>'1_PerfAchats'!F27</f>
        <v>0.12021288888888915</v>
      </c>
      <c r="F3" s="72">
        <f>'1_PerfAchats'!G27</f>
        <v>0.14585466666666694</v>
      </c>
      <c r="G3" s="72">
        <f>'1_PerfAchats'!H27</f>
        <v>0.18722511111111137</v>
      </c>
      <c r="H3" s="72">
        <f>'1_PerfAchats'!I27</f>
        <v>0.2689384444444447</v>
      </c>
      <c r="I3" s="72">
        <f>'1_PerfAchats'!J27</f>
        <v>0.32159533333333357</v>
      </c>
      <c r="J3" s="72">
        <f>'1_PerfAchats'!K27</f>
        <v>0.46337066666666693</v>
      </c>
      <c r="K3" s="72">
        <f>'1_PerfAchats'!L27</f>
        <v>0.59314955555555571</v>
      </c>
      <c r="L3" s="72">
        <f>'1_PerfAchats'!M27</f>
        <v>0.61036955555555572</v>
      </c>
      <c r="M3" s="72">
        <f>'1_PerfAchats'!P27</f>
        <v>1.0500811111111112</v>
      </c>
      <c r="N3" s="73">
        <f>'1_PerfAchats'!Q27</f>
        <v>1.1111111111111114</v>
      </c>
    </row>
    <row r="4" spans="1:14" x14ac:dyDescent="0.25">
      <c r="A4" t="s">
        <v>41</v>
      </c>
      <c r="B4" s="10"/>
      <c r="C4" s="11"/>
      <c r="D4" s="79" t="s">
        <v>58</v>
      </c>
      <c r="E4" s="74">
        <f>'1_PerfAchats'!F14</f>
        <v>4.2469855445254549E-2</v>
      </c>
      <c r="F4" s="74">
        <f>'1_PerfAchats'!G14</f>
        <v>2.6382045131238006E-2</v>
      </c>
      <c r="G4" s="74">
        <f>'1_PerfAchats'!H14</f>
        <v>2.4746435922024204E-2</v>
      </c>
      <c r="H4" s="74">
        <f>'1_PerfAchats'!I14</f>
        <v>2.8145693593039079E-2</v>
      </c>
      <c r="I4" s="74">
        <f>'1_PerfAchats'!J14</f>
        <v>2.6827937438536977E-2</v>
      </c>
      <c r="J4" s="74">
        <f>'1_PerfAchats'!K14</f>
        <v>3.2722759618641253E-2</v>
      </c>
      <c r="K4" s="74">
        <f>'1_PerfAchats'!L14</f>
        <v>3.5426364901381409E-2</v>
      </c>
      <c r="L4" s="74">
        <f>'1_PerfAchats'!M14</f>
        <v>3.2066993237517431E-2</v>
      </c>
      <c r="M4" s="74">
        <f>'1_PerfAchats'!P14</f>
        <v>3.9840395095809514E-2</v>
      </c>
      <c r="N4" s="75">
        <f>'1_PerfAchats'!Q14</f>
        <v>3.8461538461538464E-2</v>
      </c>
    </row>
    <row r="5" spans="1:14" x14ac:dyDescent="0.25">
      <c r="B5" s="10"/>
      <c r="C5" s="11"/>
      <c r="D5" s="79" t="s">
        <v>57</v>
      </c>
      <c r="E5" s="74">
        <f>'1_PerfAchats'!F15</f>
        <v>5.2871073309431131E-2</v>
      </c>
      <c r="F5" s="74">
        <f>'1_PerfAchats'!G15</f>
        <v>3.2986326886917661E-2</v>
      </c>
      <c r="G5" s="74">
        <f>'1_PerfAchats'!H15</f>
        <v>3.1711775610712367E-2</v>
      </c>
      <c r="H5" s="74">
        <f>'1_PerfAchats'!I15</f>
        <v>3.6672978610169042E-2</v>
      </c>
      <c r="I5" s="74">
        <f>'1_PerfAchats'!J15</f>
        <v>3.4891458552121397E-2</v>
      </c>
      <c r="J5" s="74">
        <f>'1_PerfAchats'!K15</f>
        <v>4.2752275098914883E-2</v>
      </c>
      <c r="K5" s="74">
        <f>'1_PerfAchats'!L15</f>
        <v>4.6085513007462046E-2</v>
      </c>
      <c r="L5" s="74">
        <f>'1_PerfAchats'!M15</f>
        <v>4.1803216624836784E-2</v>
      </c>
      <c r="M5" s="74">
        <f>'1_PerfAchats'!P15</f>
        <v>5.1847504840921113E-2</v>
      </c>
      <c r="N5" s="75">
        <f>'1_PerfAchats'!Q15</f>
        <v>5.000000000000001E-2</v>
      </c>
    </row>
    <row r="6" spans="1:14" x14ac:dyDescent="0.25">
      <c r="A6" t="s">
        <v>41</v>
      </c>
      <c r="B6" s="10"/>
      <c r="C6" s="11"/>
      <c r="D6" s="79" t="s">
        <v>44</v>
      </c>
      <c r="E6" s="33">
        <v>0.35357142857142854</v>
      </c>
      <c r="F6" s="33">
        <v>0.23571428571428571</v>
      </c>
      <c r="G6" s="33">
        <v>0.47142857142857142</v>
      </c>
      <c r="H6" s="33">
        <v>0.31428571428571428</v>
      </c>
      <c r="I6" s="33">
        <v>0.55000000000000004</v>
      </c>
      <c r="J6" s="33">
        <v>0.39285714285714285</v>
      </c>
      <c r="K6" s="33">
        <v>0.62857142857142856</v>
      </c>
      <c r="L6" s="33">
        <v>0.47142857142857142</v>
      </c>
      <c r="M6" s="33">
        <v>0.70714285714285707</v>
      </c>
      <c r="N6" s="34">
        <v>0.55000000000000004</v>
      </c>
    </row>
    <row r="7" spans="1:14" ht="30" x14ac:dyDescent="0.25">
      <c r="A7" s="10" t="s">
        <v>10</v>
      </c>
      <c r="D7" s="79" t="s">
        <v>45</v>
      </c>
      <c r="E7" s="31">
        <v>10</v>
      </c>
      <c r="F7" s="31">
        <f>E7+4</f>
        <v>14</v>
      </c>
      <c r="G7" s="31">
        <v>11</v>
      </c>
      <c r="H7" s="31">
        <f t="shared" ref="H7" si="1">G7+4</f>
        <v>15</v>
      </c>
      <c r="I7" s="31">
        <v>12</v>
      </c>
      <c r="J7" s="31">
        <f t="shared" ref="J7" si="2">I7+4</f>
        <v>16</v>
      </c>
      <c r="K7" s="31">
        <v>13</v>
      </c>
      <c r="L7" s="31">
        <f t="shared" ref="L7" si="3">K7+4</f>
        <v>17</v>
      </c>
      <c r="M7" s="31">
        <v>14</v>
      </c>
      <c r="N7" s="32">
        <f t="shared" ref="N7" si="4">M7+4</f>
        <v>18</v>
      </c>
    </row>
    <row r="8" spans="1:14" ht="30" x14ac:dyDescent="0.25">
      <c r="A8" s="10" t="s">
        <v>10</v>
      </c>
      <c r="D8" s="79" t="s">
        <v>46</v>
      </c>
      <c r="E8" s="33">
        <v>9.6428571428571419E-2</v>
      </c>
      <c r="F8" s="33">
        <v>6.4285714285714279E-2</v>
      </c>
      <c r="G8" s="33">
        <v>0.12857142857142856</v>
      </c>
      <c r="H8" s="33">
        <v>8.5714285714285715E-2</v>
      </c>
      <c r="I8" s="33">
        <v>0.15000000000000002</v>
      </c>
      <c r="J8" s="33">
        <v>0.10714285714285714</v>
      </c>
      <c r="K8" s="33">
        <v>0.17142857142857143</v>
      </c>
      <c r="L8" s="33">
        <v>0.12857142857142856</v>
      </c>
      <c r="M8" s="33">
        <v>0.19285714285714284</v>
      </c>
      <c r="N8" s="34">
        <v>0.15000000000000002</v>
      </c>
    </row>
    <row r="9" spans="1:14" ht="30" x14ac:dyDescent="0.25">
      <c r="A9" s="10" t="s">
        <v>10</v>
      </c>
      <c r="D9" s="80" t="s">
        <v>47</v>
      </c>
      <c r="E9" s="76" t="e">
        <f>'2_Gouvernance'!#REF!</f>
        <v>#REF!</v>
      </c>
      <c r="F9" s="76" t="e">
        <f>'2_Gouvernance'!#REF!</f>
        <v>#REF!</v>
      </c>
      <c r="G9" s="76" t="e">
        <f>'2_Gouvernance'!#REF!</f>
        <v>#REF!</v>
      </c>
      <c r="H9" s="76" t="e">
        <f>'2_Gouvernance'!#REF!</f>
        <v>#REF!</v>
      </c>
      <c r="I9" s="76" t="e">
        <f>'2_Gouvernance'!#REF!</f>
        <v>#REF!</v>
      </c>
      <c r="J9" s="76" t="e">
        <f>'2_Gouvernance'!#REF!</f>
        <v>#REF!</v>
      </c>
      <c r="K9" s="76" t="e">
        <f>'2_Gouvernance'!#REF!</f>
        <v>#REF!</v>
      </c>
      <c r="L9" s="76" t="e">
        <f>'2_Gouvernance'!#REF!</f>
        <v>#REF!</v>
      </c>
      <c r="M9" s="76" t="e">
        <f>'2_Gouvernance'!#REF!</f>
        <v>#REF!</v>
      </c>
      <c r="N9" s="77" t="e">
        <f>'2_Gouvernance'!#REF!</f>
        <v>#REF!</v>
      </c>
    </row>
    <row r="10" spans="1:14" x14ac:dyDescent="0.25">
      <c r="A10" s="10"/>
    </row>
    <row r="11" spans="1:14" x14ac:dyDescent="0.25">
      <c r="A11" s="10"/>
    </row>
    <row r="12" spans="1:14" x14ac:dyDescent="0.25">
      <c r="A12" s="10"/>
    </row>
    <row r="13" spans="1:14" x14ac:dyDescent="0.25">
      <c r="A13" s="10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AC13"/>
  <sheetViews>
    <sheetView zoomScale="85" zoomScaleNormal="85" workbookViewId="0">
      <pane xSplit="4" ySplit="1" topLeftCell="E11" activePane="bottomRight" state="frozen"/>
      <selection pane="topRight" activeCell="E1" sqref="E1"/>
      <selection pane="bottomLeft" activeCell="A2" sqref="A2"/>
      <selection pane="bottomRight" activeCell="M40" sqref="M40"/>
    </sheetView>
  </sheetViews>
  <sheetFormatPr baseColWidth="10" defaultRowHeight="15" outlineLevelCol="1" x14ac:dyDescent="0.25"/>
  <cols>
    <col min="1" max="3" width="0" hidden="1" customWidth="1" outlineLevel="1"/>
    <col min="4" max="4" width="31.140625" customWidth="1" collapsed="1"/>
    <col min="5" max="5" width="26.140625" bestFit="1" customWidth="1"/>
    <col min="6" max="6" width="17" bestFit="1" customWidth="1"/>
    <col min="7" max="7" width="18.28515625" bestFit="1" customWidth="1"/>
    <col min="8" max="9" width="17" bestFit="1" customWidth="1"/>
    <col min="10" max="10" width="18.28515625" bestFit="1" customWidth="1"/>
    <col min="11" max="12" width="18" bestFit="1" customWidth="1"/>
    <col min="13" max="13" width="18.28515625" bestFit="1" customWidth="1"/>
    <col min="14" max="15" width="18" bestFit="1" customWidth="1"/>
    <col min="16" max="16" width="18.28515625" bestFit="1" customWidth="1"/>
    <col min="17" max="17" width="20.140625" bestFit="1" customWidth="1"/>
    <col min="18" max="20" width="18.28515625" bestFit="1" customWidth="1"/>
    <col min="21" max="21" width="16.28515625" bestFit="1" customWidth="1"/>
    <col min="22" max="22" width="17.42578125" bestFit="1" customWidth="1"/>
    <col min="23" max="23" width="16.7109375" bestFit="1" customWidth="1"/>
    <col min="24" max="24" width="19.28515625" bestFit="1" customWidth="1"/>
    <col min="25" max="25" width="13.140625" bestFit="1" customWidth="1"/>
    <col min="28" max="28" width="19.28515625" bestFit="1" customWidth="1"/>
    <col min="29" max="29" width="13.140625" bestFit="1" customWidth="1"/>
  </cols>
  <sheetData>
    <row r="1" spans="4:29" x14ac:dyDescent="0.25">
      <c r="D1" s="18" t="s">
        <v>9</v>
      </c>
      <c r="E1" s="20" t="s">
        <v>59</v>
      </c>
      <c r="F1" s="20" t="s">
        <v>60</v>
      </c>
      <c r="G1" s="20" t="s">
        <v>61</v>
      </c>
      <c r="H1" s="20" t="s">
        <v>62</v>
      </c>
      <c r="I1" s="20" t="s">
        <v>63</v>
      </c>
      <c r="J1" s="20" t="s">
        <v>64</v>
      </c>
      <c r="K1" s="20" t="s">
        <v>65</v>
      </c>
      <c r="L1" s="20" t="s">
        <v>66</v>
      </c>
      <c r="M1" s="20" t="s">
        <v>67</v>
      </c>
      <c r="N1" s="20" t="s">
        <v>68</v>
      </c>
      <c r="O1" s="20" t="s">
        <v>69</v>
      </c>
      <c r="P1" s="20" t="s">
        <v>70</v>
      </c>
      <c r="Q1" s="20" t="str">
        <f>'1_PerfAchats'!S1</f>
        <v>T1-2017</v>
      </c>
      <c r="R1" s="20" t="str">
        <f>'1_PerfAchats'!T1</f>
        <v>T2-2017</v>
      </c>
      <c r="S1" s="20" t="str">
        <f>'1_PerfAchats'!U1</f>
        <v>T3-2017</v>
      </c>
      <c r="T1" s="20" t="str">
        <f>'1_PerfAchats'!V1</f>
        <v>T4-2017</v>
      </c>
      <c r="U1" s="20" t="str">
        <f>'1_PerfAchats'!W1</f>
        <v>S1-2017</v>
      </c>
      <c r="V1" s="20" t="str">
        <f>'1_PerfAchats'!X1</f>
        <v>S1-2017</v>
      </c>
      <c r="W1" s="20" t="s">
        <v>72</v>
      </c>
      <c r="X1" t="s">
        <v>131</v>
      </c>
    </row>
    <row r="3" spans="4:29" x14ac:dyDescent="0.25">
      <c r="D3" s="25" t="s">
        <v>126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46">
        <v>720000000</v>
      </c>
      <c r="R3" s="146">
        <v>680000000</v>
      </c>
      <c r="S3" s="146">
        <v>800000000</v>
      </c>
      <c r="T3" s="146">
        <v>900000000</v>
      </c>
      <c r="U3" s="113">
        <f t="shared" ref="U3:U5" si="0">SUM(Q3:R3)</f>
        <v>1400000000</v>
      </c>
      <c r="V3" s="113">
        <f t="shared" ref="V3:V5" si="1">SUM(S3:T3)</f>
        <v>1700000000</v>
      </c>
      <c r="W3" s="145">
        <f>SUM(Q3:T3)</f>
        <v>3100000000</v>
      </c>
      <c r="X3" s="148">
        <f>W3/1000000000</f>
        <v>3.1</v>
      </c>
      <c r="AB3" s="146"/>
      <c r="AC3" s="147"/>
    </row>
    <row r="4" spans="4:29" x14ac:dyDescent="0.25">
      <c r="D4" s="25" t="s">
        <v>128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46">
        <v>270000000</v>
      </c>
      <c r="R4" s="146">
        <v>240000000</v>
      </c>
      <c r="S4" s="146">
        <v>300000000</v>
      </c>
      <c r="T4" s="146">
        <v>350000000</v>
      </c>
      <c r="U4" s="113">
        <f>SUM(Q4:R4)</f>
        <v>510000000</v>
      </c>
      <c r="V4" s="113">
        <f>SUM(S4:T4)</f>
        <v>650000000</v>
      </c>
      <c r="W4" s="145">
        <f>SUM(Q4:T4)</f>
        <v>1160000000</v>
      </c>
      <c r="X4" s="148">
        <f t="shared" ref="X4:X5" si="2">W4/1000000000</f>
        <v>1.1599999999999999</v>
      </c>
      <c r="AB4" s="146"/>
      <c r="AC4" s="147"/>
    </row>
    <row r="5" spans="4:29" x14ac:dyDescent="0.25">
      <c r="D5" s="25" t="s">
        <v>127</v>
      </c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46">
        <v>170000000</v>
      </c>
      <c r="R5" s="146">
        <v>160000000</v>
      </c>
      <c r="S5" s="146">
        <v>190000000</v>
      </c>
      <c r="T5" s="146">
        <v>220000000</v>
      </c>
      <c r="U5" s="113">
        <f t="shared" si="0"/>
        <v>330000000</v>
      </c>
      <c r="V5" s="113">
        <f t="shared" si="1"/>
        <v>410000000</v>
      </c>
      <c r="W5" s="145">
        <f t="shared" ref="W5" si="3">SUM(Q5:T5)</f>
        <v>740000000</v>
      </c>
      <c r="X5" s="148">
        <f t="shared" si="2"/>
        <v>0.74</v>
      </c>
      <c r="AB5" s="146"/>
      <c r="AC5" s="147"/>
    </row>
    <row r="8" spans="4:29" x14ac:dyDescent="0.25">
      <c r="D8" s="25" t="s">
        <v>132</v>
      </c>
      <c r="E8" s="108">
        <v>1200000000</v>
      </c>
      <c r="F8" s="108">
        <v>1500000000</v>
      </c>
      <c r="G8" s="149">
        <v>180000000</v>
      </c>
      <c r="H8" s="108">
        <v>2300000000</v>
      </c>
      <c r="I8" s="108">
        <v>500000000</v>
      </c>
      <c r="J8" s="149">
        <v>7500000000</v>
      </c>
      <c r="K8" s="108">
        <v>1500000000</v>
      </c>
      <c r="L8" s="108">
        <v>8500000000</v>
      </c>
      <c r="M8" s="149">
        <v>2200000000</v>
      </c>
      <c r="N8" s="108">
        <v>2500000000</v>
      </c>
      <c r="O8" s="108">
        <v>1400000000</v>
      </c>
      <c r="P8" s="149">
        <v>500000000</v>
      </c>
      <c r="Q8" s="146">
        <f>((Q9/20*75)/1000)*1000</f>
        <v>4350000000</v>
      </c>
      <c r="R8" s="146">
        <f>((R9/20*75)/1000)*1000</f>
        <v>4050000000</v>
      </c>
      <c r="S8" s="146">
        <f>((S9/20*75)/1000)*1000</f>
        <v>4837500000</v>
      </c>
      <c r="T8" s="146">
        <f>((T9/20*75)/1000)*1000</f>
        <v>5512500000</v>
      </c>
      <c r="U8" s="113">
        <f>SUM(Q8:R8)</f>
        <v>8400000000</v>
      </c>
      <c r="V8" s="113">
        <f>SUM(S8:T8)</f>
        <v>10350000000</v>
      </c>
      <c r="W8" s="145">
        <f>SUM(Q8:T8)</f>
        <v>18750000000</v>
      </c>
      <c r="X8" s="148">
        <f>W8/1000000000</f>
        <v>18.75</v>
      </c>
      <c r="AB8" s="146"/>
    </row>
    <row r="9" spans="4:29" x14ac:dyDescent="0.25">
      <c r="D9" s="25" t="s">
        <v>130</v>
      </c>
      <c r="E9" s="108">
        <v>550000000</v>
      </c>
      <c r="F9" s="108">
        <v>350000000</v>
      </c>
      <c r="G9" s="149">
        <v>700000000</v>
      </c>
      <c r="H9" s="108">
        <v>250000000</v>
      </c>
      <c r="I9" s="108">
        <v>150000000</v>
      </c>
      <c r="J9" s="149">
        <f t="shared" ref="J9" si="4">R9-H9-I9</f>
        <v>680000000</v>
      </c>
      <c r="K9" s="108">
        <v>430000000</v>
      </c>
      <c r="L9" s="108">
        <v>600000000</v>
      </c>
      <c r="M9" s="149">
        <f t="shared" ref="M9" si="5">S9-K9-L9</f>
        <v>260000000</v>
      </c>
      <c r="N9" s="108">
        <v>650000000</v>
      </c>
      <c r="O9" s="108">
        <v>150000000</v>
      </c>
      <c r="P9" s="149">
        <v>250000000</v>
      </c>
      <c r="Q9" s="146">
        <f>(SUM(Q3:Q5)*1000)/1000</f>
        <v>1160000000</v>
      </c>
      <c r="R9" s="146">
        <f>(SUM(R3:R5)*1000)/1000</f>
        <v>1080000000</v>
      </c>
      <c r="S9" s="146">
        <f>(SUM(S3:S5)*1000)/1000</f>
        <v>1290000000</v>
      </c>
      <c r="T9" s="146">
        <f>(SUM(T3:T5)*1000)/1000</f>
        <v>1470000000</v>
      </c>
      <c r="U9" s="113">
        <f t="shared" ref="U9" si="6">SUM(Q9:R9)</f>
        <v>2240000000</v>
      </c>
      <c r="V9" s="113">
        <f t="shared" ref="V9" si="7">SUM(S9:T9)</f>
        <v>2760000000</v>
      </c>
      <c r="W9" s="145">
        <f t="shared" ref="W9" si="8">SUM(Q9:T9)</f>
        <v>5000000000</v>
      </c>
      <c r="X9" s="148">
        <f t="shared" ref="X9:X10" si="9">W9/1000000000</f>
        <v>5</v>
      </c>
      <c r="AB9" s="146"/>
    </row>
    <row r="10" spans="4:29" x14ac:dyDescent="0.25">
      <c r="D10" s="25" t="s">
        <v>129</v>
      </c>
      <c r="E10" s="108">
        <f>300000000/2.5</f>
        <v>120000000</v>
      </c>
      <c r="F10" s="108">
        <v>50000000</v>
      </c>
      <c r="G10" s="149">
        <v>210000000</v>
      </c>
      <c r="H10" s="108">
        <v>250000000</v>
      </c>
      <c r="I10" s="108">
        <v>85000000</v>
      </c>
      <c r="J10" s="149">
        <v>45000000</v>
      </c>
      <c r="K10" s="108">
        <v>250000000</v>
      </c>
      <c r="L10" s="108">
        <v>110000000</v>
      </c>
      <c r="M10" s="149">
        <v>37500000</v>
      </c>
      <c r="N10" s="108">
        <v>450000000</v>
      </c>
      <c r="O10" s="108">
        <v>100000000</v>
      </c>
      <c r="P10" s="149">
        <v>500000000</v>
      </c>
      <c r="Q10" s="146">
        <f>((Q9/4)/1000)*1000</f>
        <v>290000000</v>
      </c>
      <c r="R10" s="146">
        <f>((R9/4)/1000)*1000</f>
        <v>270000000</v>
      </c>
      <c r="S10" s="146">
        <f>((S9/4)/1000)*1000</f>
        <v>322500000</v>
      </c>
      <c r="T10" s="146">
        <f>((T9/4)/1000)*1000</f>
        <v>367500000</v>
      </c>
      <c r="U10" s="113">
        <f t="shared" ref="U10" si="10">SUM(Q10:R10)</f>
        <v>560000000</v>
      </c>
      <c r="V10" s="113">
        <f t="shared" ref="V10" si="11">SUM(S10:T10)</f>
        <v>690000000</v>
      </c>
      <c r="W10" s="145">
        <f t="shared" ref="W10" si="12">SUM(Q10:T10)</f>
        <v>1250000000</v>
      </c>
      <c r="X10" s="148">
        <f t="shared" si="9"/>
        <v>1.25</v>
      </c>
      <c r="AB10" s="146"/>
    </row>
    <row r="11" spans="4:29" x14ac:dyDescent="0.25">
      <c r="D11" s="81" t="s">
        <v>133</v>
      </c>
      <c r="E11" s="150">
        <f>SUM($E$8:E8)</f>
        <v>1200000000</v>
      </c>
      <c r="F11" s="150">
        <f>SUM($E$8:F8)</f>
        <v>2700000000</v>
      </c>
      <c r="G11" s="150">
        <f>SUM($E$8:G8)</f>
        <v>2880000000</v>
      </c>
      <c r="H11" s="150">
        <f>SUM($E$8:H8)</f>
        <v>5180000000</v>
      </c>
      <c r="I11" s="150">
        <f>SUM($E$8:I8)</f>
        <v>5680000000</v>
      </c>
      <c r="J11" s="150">
        <f>SUM($E$8:J8)</f>
        <v>13180000000</v>
      </c>
      <c r="K11" s="150">
        <f>SUM($E$8:K8)</f>
        <v>14680000000</v>
      </c>
      <c r="L11" s="150">
        <f>SUM($E$8:L8)</f>
        <v>23180000000</v>
      </c>
      <c r="M11" s="150">
        <f>SUM($E$8:M8)</f>
        <v>25380000000</v>
      </c>
      <c r="N11" s="150">
        <f>SUM($E$8:N8)</f>
        <v>27880000000</v>
      </c>
      <c r="O11" s="150">
        <f>SUM($E$8:O8)</f>
        <v>29280000000</v>
      </c>
      <c r="P11" s="150">
        <f>SUM($E$8:P8)</f>
        <v>29780000000</v>
      </c>
      <c r="Q11" s="146"/>
      <c r="R11" s="146"/>
      <c r="S11" s="146"/>
      <c r="T11" s="146"/>
      <c r="U11" s="113">
        <f>SUM(Q11:R11)</f>
        <v>0</v>
      </c>
      <c r="V11" s="113">
        <f>SUM(S11:T11)</f>
        <v>0</v>
      </c>
      <c r="W11" s="145">
        <f>SUM(Q11:T11)</f>
        <v>0</v>
      </c>
      <c r="X11" s="148">
        <f>W11/1000000000</f>
        <v>0</v>
      </c>
      <c r="AB11" s="146"/>
    </row>
    <row r="12" spans="4:29" x14ac:dyDescent="0.25">
      <c r="D12" s="81" t="s">
        <v>134</v>
      </c>
      <c r="E12" s="150">
        <f>SUM($E$8:E10)</f>
        <v>1870000000</v>
      </c>
      <c r="F12" s="150">
        <f>SUM($E$8:F10)</f>
        <v>3770000000</v>
      </c>
      <c r="G12" s="150">
        <f>SUM($E$8:G10)</f>
        <v>4860000000</v>
      </c>
      <c r="H12" s="150">
        <f>SUM($E$8:H10)</f>
        <v>7660000000</v>
      </c>
      <c r="I12" s="150">
        <f>SUM($E$8:I10)</f>
        <v>8395000000</v>
      </c>
      <c r="J12" s="150">
        <f>SUM($E$8:J10)</f>
        <v>16620000000</v>
      </c>
      <c r="K12" s="150">
        <f>SUM($E$8:K10)</f>
        <v>18800000000</v>
      </c>
      <c r="L12" s="150">
        <f>SUM($E$8:L10)</f>
        <v>28010000000</v>
      </c>
      <c r="M12" s="150">
        <f>SUM($E$8:M10)</f>
        <v>30507500000</v>
      </c>
      <c r="N12" s="150">
        <f>SUM($E$8:N10)</f>
        <v>34107500000</v>
      </c>
      <c r="O12" s="150">
        <f>SUM($E$8:O10)</f>
        <v>35757500000</v>
      </c>
      <c r="P12" s="150">
        <f>SUM($E$8:P10)</f>
        <v>37007500000</v>
      </c>
      <c r="Q12" s="146"/>
      <c r="R12" s="146"/>
      <c r="S12" s="146"/>
      <c r="T12" s="146"/>
      <c r="U12" s="113">
        <f>SUM(Q12:R12)</f>
        <v>0</v>
      </c>
      <c r="V12" s="113">
        <f>SUM(S12:T12)</f>
        <v>0</v>
      </c>
      <c r="W12" s="145">
        <f>SUM(Q12:T12)</f>
        <v>0</v>
      </c>
      <c r="X12" s="148">
        <f>W12/1000000000</f>
        <v>0</v>
      </c>
      <c r="AB12" s="146"/>
    </row>
    <row r="13" spans="4:29" ht="30" x14ac:dyDescent="0.25">
      <c r="D13" s="81" t="s">
        <v>135</v>
      </c>
      <c r="E13" s="152">
        <f>E11/E12</f>
        <v>0.64171122994652408</v>
      </c>
      <c r="F13" s="152">
        <f t="shared" ref="F13:P13" si="13">F11/F12</f>
        <v>0.71618037135278512</v>
      </c>
      <c r="G13" s="152">
        <f t="shared" si="13"/>
        <v>0.59259259259259256</v>
      </c>
      <c r="H13" s="152">
        <f t="shared" si="13"/>
        <v>0.67624020887728464</v>
      </c>
      <c r="I13" s="152">
        <f t="shared" si="13"/>
        <v>0.67659321024419294</v>
      </c>
      <c r="J13" s="152">
        <f t="shared" si="13"/>
        <v>0.79302045728038506</v>
      </c>
      <c r="K13" s="152">
        <f t="shared" si="13"/>
        <v>0.7808510638297872</v>
      </c>
      <c r="L13" s="152">
        <f t="shared" si="13"/>
        <v>0.82756158514816136</v>
      </c>
      <c r="M13" s="152">
        <f t="shared" si="13"/>
        <v>0.83192657543227078</v>
      </c>
      <c r="N13" s="152">
        <f t="shared" si="13"/>
        <v>0.81741552444477017</v>
      </c>
      <c r="O13" s="152">
        <f t="shared" si="13"/>
        <v>0.81884919247710275</v>
      </c>
      <c r="P13" s="152">
        <f t="shared" si="13"/>
        <v>0.80470174964534213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49"/>
  <sheetViews>
    <sheetView topLeftCell="D1" zoomScale="85" zoomScaleNormal="85" workbookViewId="0">
      <pane xSplit="1" ySplit="1" topLeftCell="E2" activePane="bottomRight" state="frozen"/>
      <selection activeCell="D1" sqref="D1"/>
      <selection pane="topRight" activeCell="E1" sqref="E1"/>
      <selection pane="bottomLeft" activeCell="D2" sqref="D2"/>
      <selection pane="bottomRight" activeCell="N30" sqref="N30"/>
    </sheetView>
  </sheetViews>
  <sheetFormatPr baseColWidth="10" defaultRowHeight="15" outlineLevelRow="1" outlineLevelCol="1" x14ac:dyDescent="0.25"/>
  <cols>
    <col min="1" max="1" width="16.5703125" hidden="1" customWidth="1" outlineLevel="1"/>
    <col min="2" max="2" width="0" hidden="1" customWidth="1" outlineLevel="1"/>
    <col min="3" max="3" width="13" hidden="1" customWidth="1" outlineLevel="1"/>
    <col min="4" max="4" width="53.7109375" customWidth="1" collapsed="1"/>
    <col min="5" max="5" width="17.42578125" customWidth="1"/>
    <col min="6" max="6" width="20.28515625" bestFit="1" customWidth="1"/>
    <col min="7" max="9" width="17.42578125" customWidth="1"/>
    <col min="10" max="10" width="15.28515625" bestFit="1" customWidth="1"/>
  </cols>
  <sheetData>
    <row r="1" spans="1:10" ht="15.75" thickBot="1" x14ac:dyDescent="0.3">
      <c r="A1" s="13"/>
      <c r="B1" s="13"/>
      <c r="C1" s="11" t="s">
        <v>12</v>
      </c>
      <c r="D1" s="18" t="s">
        <v>9</v>
      </c>
      <c r="E1" s="20">
        <f>MEMO!B7</f>
        <v>2015</v>
      </c>
      <c r="F1" s="20">
        <f>E1+1</f>
        <v>2016</v>
      </c>
      <c r="G1" s="20">
        <f t="shared" ref="G1:I1" si="0">F1+1</f>
        <v>2017</v>
      </c>
      <c r="H1" s="20">
        <f t="shared" si="0"/>
        <v>2018</v>
      </c>
      <c r="I1" s="20">
        <f t="shared" si="0"/>
        <v>2019</v>
      </c>
    </row>
    <row r="2" spans="1:10" ht="19.5" thickBot="1" x14ac:dyDescent="0.3">
      <c r="A2" s="13"/>
      <c r="B2" s="13"/>
      <c r="C2" s="11"/>
      <c r="D2" s="89" t="s">
        <v>93</v>
      </c>
      <c r="E2" s="20"/>
      <c r="F2" s="20"/>
      <c r="G2" s="20"/>
      <c r="H2" s="20"/>
      <c r="I2" s="20"/>
    </row>
    <row r="3" spans="1:10" ht="19.5" thickBot="1" x14ac:dyDescent="0.3">
      <c r="A3" s="10" t="s">
        <v>10</v>
      </c>
      <c r="B3" s="10" t="s">
        <v>7</v>
      </c>
      <c r="C3" s="11">
        <v>1</v>
      </c>
      <c r="D3" s="89" t="s">
        <v>81</v>
      </c>
      <c r="E3" s="29"/>
      <c r="F3" s="29"/>
      <c r="G3" s="29"/>
      <c r="H3" s="29"/>
      <c r="I3" s="29"/>
    </row>
    <row r="4" spans="1:10" x14ac:dyDescent="0.25">
      <c r="A4" s="10" t="s">
        <v>10</v>
      </c>
      <c r="B4" s="10" t="s">
        <v>7</v>
      </c>
      <c r="C4" s="11">
        <v>2</v>
      </c>
      <c r="D4" s="28" t="s">
        <v>86</v>
      </c>
      <c r="E4" s="27">
        <v>4000000</v>
      </c>
      <c r="F4" s="27">
        <v>2800000</v>
      </c>
      <c r="G4" s="92">
        <f>'1_PerfAchats'!Y4</f>
        <v>5000000.0000000009</v>
      </c>
      <c r="H4" s="27">
        <v>6000000</v>
      </c>
      <c r="I4" s="27">
        <v>3500000</v>
      </c>
    </row>
    <row r="5" spans="1:10" ht="15.75" thickBot="1" x14ac:dyDescent="0.3">
      <c r="A5" s="10" t="s">
        <v>10</v>
      </c>
      <c r="B5" s="13"/>
      <c r="C5" s="11">
        <v>3</v>
      </c>
      <c r="D5" s="30"/>
      <c r="E5" s="33"/>
      <c r="F5" s="33"/>
      <c r="G5" s="33"/>
      <c r="H5" s="33"/>
      <c r="I5" s="33"/>
    </row>
    <row r="6" spans="1:10" ht="19.5" thickBot="1" x14ac:dyDescent="0.3">
      <c r="A6" s="10" t="s">
        <v>10</v>
      </c>
      <c r="B6" s="13"/>
      <c r="C6" s="11">
        <v>3</v>
      </c>
      <c r="D6" s="89" t="s">
        <v>82</v>
      </c>
      <c r="E6" s="98"/>
      <c r="F6" s="98"/>
      <c r="G6" s="99"/>
      <c r="H6" s="99"/>
      <c r="I6" s="99"/>
    </row>
    <row r="7" spans="1:10" x14ac:dyDescent="0.25">
      <c r="A7" s="10" t="s">
        <v>10</v>
      </c>
      <c r="B7" s="13" t="s">
        <v>15</v>
      </c>
      <c r="C7" s="13"/>
      <c r="D7" s="28" t="s">
        <v>1</v>
      </c>
      <c r="E7" s="27">
        <f>120000000</f>
        <v>120000000</v>
      </c>
      <c r="F7" s="27">
        <f>100000000</f>
        <v>100000000</v>
      </c>
      <c r="G7" s="92">
        <f>'1_PerfAchats'!Y12</f>
        <v>130000000.00000001</v>
      </c>
      <c r="H7" s="97">
        <f>140000000</f>
        <v>140000000</v>
      </c>
      <c r="I7" s="97">
        <f>F7*1.1</f>
        <v>110000000.00000001</v>
      </c>
    </row>
    <row r="8" spans="1:10" x14ac:dyDescent="0.25">
      <c r="A8" s="13"/>
      <c r="B8" s="13"/>
      <c r="C8" s="13"/>
      <c r="D8" s="28" t="s">
        <v>2</v>
      </c>
      <c r="E8" s="27">
        <f>E7*0.7</f>
        <v>84000000</v>
      </c>
      <c r="F8" s="27">
        <f>F7*0.66</f>
        <v>66000000</v>
      </c>
      <c r="G8" s="92">
        <f>'1_PerfAchats'!Y13</f>
        <v>100000000</v>
      </c>
      <c r="H8" s="97">
        <f>H7*0.75</f>
        <v>105000000</v>
      </c>
      <c r="I8" s="97">
        <f>I7*0.7</f>
        <v>77000000</v>
      </c>
    </row>
    <row r="9" spans="1:10" outlineLevel="1" x14ac:dyDescent="0.25">
      <c r="A9" s="13"/>
      <c r="B9" s="13"/>
      <c r="C9" s="13"/>
      <c r="D9" s="81" t="s">
        <v>48</v>
      </c>
      <c r="E9" s="17">
        <f>E$4/E7</f>
        <v>3.3333333333333333E-2</v>
      </c>
      <c r="F9" s="17">
        <f t="shared" ref="F9:I9" si="1">F$4/F7</f>
        <v>2.8000000000000001E-2</v>
      </c>
      <c r="G9" s="17">
        <f t="shared" si="1"/>
        <v>3.8461538461538464E-2</v>
      </c>
      <c r="H9" s="17">
        <f t="shared" si="1"/>
        <v>4.2857142857142858E-2</v>
      </c>
      <c r="I9" s="17">
        <f t="shared" si="1"/>
        <v>3.1818181818181815E-2</v>
      </c>
    </row>
    <row r="10" spans="1:10" outlineLevel="1" x14ac:dyDescent="0.25">
      <c r="A10" s="13"/>
      <c r="B10" s="13"/>
      <c r="C10" s="13"/>
      <c r="D10" s="81" t="s">
        <v>49</v>
      </c>
      <c r="E10" s="17">
        <f>E$4/E8</f>
        <v>4.7619047619047616E-2</v>
      </c>
      <c r="F10" s="17">
        <f t="shared" ref="F10:I10" si="2">F$4/F8</f>
        <v>4.2424242424242427E-2</v>
      </c>
      <c r="G10" s="17">
        <f t="shared" si="2"/>
        <v>5.000000000000001E-2</v>
      </c>
      <c r="H10" s="17">
        <f t="shared" si="2"/>
        <v>5.7142857142857141E-2</v>
      </c>
      <c r="I10" s="17">
        <f t="shared" si="2"/>
        <v>4.5454545454545456E-2</v>
      </c>
    </row>
    <row r="11" spans="1:10" x14ac:dyDescent="0.25">
      <c r="A11" s="13"/>
      <c r="B11" s="13"/>
      <c r="C11" s="13"/>
      <c r="D11" s="13"/>
      <c r="E11" s="13"/>
      <c r="F11" s="13"/>
      <c r="G11" s="13"/>
      <c r="H11" s="13"/>
      <c r="I11" s="13"/>
    </row>
    <row r="12" spans="1:10" x14ac:dyDescent="0.25">
      <c r="A12" s="13"/>
      <c r="B12" s="13"/>
      <c r="C12" s="13"/>
      <c r="D12" s="13"/>
      <c r="E12" s="13"/>
      <c r="F12" s="13"/>
      <c r="G12" s="13"/>
      <c r="H12" s="13"/>
      <c r="I12" s="13"/>
    </row>
    <row r="15" spans="1:10" x14ac:dyDescent="0.25">
      <c r="E15" t="s">
        <v>119</v>
      </c>
      <c r="F15" t="s">
        <v>120</v>
      </c>
      <c r="G15" t="s">
        <v>119</v>
      </c>
      <c r="H15" t="s">
        <v>120</v>
      </c>
      <c r="I15" t="s">
        <v>119</v>
      </c>
      <c r="J15" t="s">
        <v>120</v>
      </c>
    </row>
    <row r="16" spans="1:10" ht="15.75" thickBot="1" x14ac:dyDescent="0.3">
      <c r="D16" s="18" t="s">
        <v>118</v>
      </c>
      <c r="E16" s="20" t="str">
        <f>E15&amp;MEMO!$B$7</f>
        <v>S12015</v>
      </c>
      <c r="F16" s="20" t="str">
        <f>F15&amp;MEMO!$B$7</f>
        <v>S22015</v>
      </c>
      <c r="G16" s="20" t="str">
        <f>G15&amp;MEMO!$B$7+1</f>
        <v>S12016</v>
      </c>
      <c r="H16" s="20" t="str">
        <f>H15&amp;MEMO!$B$7+1</f>
        <v>S22016</v>
      </c>
      <c r="I16" s="20" t="str">
        <f>I15&amp;MEMO!$B$6</f>
        <v>S12017</v>
      </c>
      <c r="J16" s="20" t="str">
        <f>J15&amp;MEMO!$B$6</f>
        <v>S22017</v>
      </c>
    </row>
    <row r="17" spans="4:10" ht="19.5" thickBot="1" x14ac:dyDescent="0.3">
      <c r="D17" s="89" t="s">
        <v>8</v>
      </c>
      <c r="I17" s="92"/>
      <c r="J17" s="92"/>
    </row>
    <row r="18" spans="4:10" x14ac:dyDescent="0.25">
      <c r="D18" s="28" t="s">
        <v>8</v>
      </c>
      <c r="E18" s="27">
        <f>167609000/2+13000000</f>
        <v>96804500</v>
      </c>
      <c r="F18" s="27">
        <f>167609000/2-13000000</f>
        <v>70804500</v>
      </c>
      <c r="G18" s="27">
        <f>168092300/2+15000000</f>
        <v>99046150</v>
      </c>
      <c r="H18" s="27">
        <f>168092300/2-15000000</f>
        <v>69046150</v>
      </c>
      <c r="I18" s="92">
        <f>169623800/2-20000000</f>
        <v>64811900</v>
      </c>
      <c r="J18" s="92">
        <f>169623800/2+20000000</f>
        <v>104811900</v>
      </c>
    </row>
    <row r="19" spans="4:10" x14ac:dyDescent="0.25">
      <c r="D19" s="28" t="s">
        <v>79</v>
      </c>
      <c r="E19" s="27">
        <v>40000000</v>
      </c>
      <c r="F19" s="27">
        <v>29609000</v>
      </c>
      <c r="G19" s="27">
        <f>93800000/2.5</f>
        <v>37520000</v>
      </c>
      <c r="H19" s="27">
        <v>36772300</v>
      </c>
      <c r="I19" s="27">
        <v>45000000</v>
      </c>
      <c r="J19" s="27">
        <v>25623800</v>
      </c>
    </row>
    <row r="20" spans="4:10" ht="30" x14ac:dyDescent="0.25">
      <c r="D20" s="81" t="s">
        <v>83</v>
      </c>
      <c r="E20" s="92">
        <f>E18-E19</f>
        <v>56804500</v>
      </c>
      <c r="F20" s="92">
        <f t="shared" ref="F20:J20" si="3">F18-F19</f>
        <v>41195500</v>
      </c>
      <c r="G20" s="92">
        <f t="shared" si="3"/>
        <v>61526150</v>
      </c>
      <c r="H20" s="92">
        <f t="shared" si="3"/>
        <v>32273850</v>
      </c>
      <c r="I20" s="92">
        <f t="shared" si="3"/>
        <v>19811900</v>
      </c>
      <c r="J20" s="92">
        <f t="shared" si="3"/>
        <v>79188100</v>
      </c>
    </row>
    <row r="21" spans="4:10" ht="30" x14ac:dyDescent="0.25">
      <c r="D21" s="81" t="s">
        <v>84</v>
      </c>
      <c r="E21" s="63">
        <f t="shared" ref="E21:J21" si="4">E19/E18</f>
        <v>0.41320393163540953</v>
      </c>
      <c r="F21" s="63">
        <f t="shared" si="4"/>
        <v>0.41817963547514636</v>
      </c>
      <c r="G21" s="63">
        <f t="shared" si="4"/>
        <v>0.37881331076472935</v>
      </c>
      <c r="H21" s="63">
        <f t="shared" si="4"/>
        <v>0.53257567583420651</v>
      </c>
      <c r="I21" s="63">
        <f t="shared" si="4"/>
        <v>0.6943169387103294</v>
      </c>
      <c r="J21" s="63">
        <f t="shared" si="4"/>
        <v>0.24447414845070073</v>
      </c>
    </row>
    <row r="38" spans="4:8" x14ac:dyDescent="0.25">
      <c r="D38" t="s">
        <v>136</v>
      </c>
    </row>
    <row r="39" spans="4:8" ht="30" x14ac:dyDescent="0.25">
      <c r="D39" t="s">
        <v>121</v>
      </c>
      <c r="E39" s="9" t="s">
        <v>122</v>
      </c>
      <c r="F39" s="9" t="s">
        <v>139</v>
      </c>
      <c r="G39" s="9" t="s">
        <v>138</v>
      </c>
      <c r="H39" s="9" t="s">
        <v>123</v>
      </c>
    </row>
    <row r="40" spans="4:8" x14ac:dyDescent="0.25">
      <c r="D40" s="125" t="s">
        <v>97</v>
      </c>
      <c r="E40" s="112">
        <f>'3_ProcessusAchats'!W16</f>
        <v>4417</v>
      </c>
      <c r="F40" s="158">
        <f>E40</f>
        <v>4417</v>
      </c>
      <c r="G40" s="141">
        <f>E40/$E$49</f>
        <v>0.25073796548592187</v>
      </c>
      <c r="H40" s="3">
        <f>G40</f>
        <v>0.25073796548592187</v>
      </c>
    </row>
    <row r="41" spans="4:8" x14ac:dyDescent="0.25">
      <c r="D41" s="125" t="s">
        <v>98</v>
      </c>
      <c r="E41" s="112">
        <f>'3_ProcessusAchats'!W17</f>
        <v>3114</v>
      </c>
      <c r="F41" s="158">
        <f>F40+E41</f>
        <v>7531</v>
      </c>
      <c r="G41" s="141">
        <f t="shared" ref="G41:G48" si="5">E41/$E$49</f>
        <v>0.17677111716621252</v>
      </c>
      <c r="H41" s="3">
        <f>H40+G41</f>
        <v>0.42750908265213439</v>
      </c>
    </row>
    <row r="42" spans="4:8" x14ac:dyDescent="0.25">
      <c r="D42" s="125" t="s">
        <v>99</v>
      </c>
      <c r="E42" s="112">
        <f>'3_ProcessusAchats'!W18</f>
        <v>1979</v>
      </c>
      <c r="F42" s="158">
        <f t="shared" ref="F42:F47" si="6">F41+E42</f>
        <v>9510</v>
      </c>
      <c r="G42" s="141">
        <f t="shared" si="5"/>
        <v>0.11234105358764759</v>
      </c>
      <c r="H42" s="3">
        <f t="shared" ref="H42:H47" si="7">H41+G42</f>
        <v>0.53985013623978195</v>
      </c>
    </row>
    <row r="43" spans="4:8" x14ac:dyDescent="0.25">
      <c r="D43" s="125" t="s">
        <v>100</v>
      </c>
      <c r="E43" s="112">
        <f>'3_ProcessusAchats'!W19</f>
        <v>1584</v>
      </c>
      <c r="F43" s="158">
        <f t="shared" si="6"/>
        <v>11094</v>
      </c>
      <c r="G43" s="141">
        <f t="shared" si="5"/>
        <v>8.9918256130790186E-2</v>
      </c>
      <c r="H43" s="3">
        <f t="shared" si="7"/>
        <v>0.62976839237057214</v>
      </c>
    </row>
    <row r="44" spans="4:8" x14ac:dyDescent="0.25">
      <c r="D44" s="25" t="s">
        <v>101</v>
      </c>
      <c r="E44" s="112">
        <f>'3_ProcessusAchats'!W20</f>
        <v>1523</v>
      </c>
      <c r="F44" s="158">
        <f t="shared" si="6"/>
        <v>12617</v>
      </c>
      <c r="G44" s="141">
        <f t="shared" si="5"/>
        <v>8.6455495004541333E-2</v>
      </c>
      <c r="H44" s="3">
        <f t="shared" si="7"/>
        <v>0.71622388737511344</v>
      </c>
    </row>
    <row r="45" spans="4:8" x14ac:dyDescent="0.25">
      <c r="D45" s="25" t="s">
        <v>102</v>
      </c>
      <c r="E45" s="112">
        <f>'3_ProcessusAchats'!W21</f>
        <v>1351</v>
      </c>
      <c r="F45" s="158">
        <f t="shared" si="6"/>
        <v>13968</v>
      </c>
      <c r="G45" s="141">
        <f t="shared" si="5"/>
        <v>7.6691643960036332E-2</v>
      </c>
      <c r="H45" s="3">
        <f t="shared" si="7"/>
        <v>0.7929155313351498</v>
      </c>
    </row>
    <row r="46" spans="4:8" x14ac:dyDescent="0.25">
      <c r="D46" s="25" t="s">
        <v>103</v>
      </c>
      <c r="E46" s="112">
        <f>'3_ProcessusAchats'!W22</f>
        <v>1416</v>
      </c>
      <c r="F46" s="158">
        <f t="shared" si="6"/>
        <v>15384</v>
      </c>
      <c r="G46" s="141">
        <f t="shared" si="5"/>
        <v>8.038147138964577E-2</v>
      </c>
      <c r="H46" s="3">
        <f t="shared" si="7"/>
        <v>0.8732970027247956</v>
      </c>
    </row>
    <row r="47" spans="4:8" x14ac:dyDescent="0.25">
      <c r="D47" s="25" t="s">
        <v>104</v>
      </c>
      <c r="E47" s="112">
        <f>'3_ProcessusAchats'!W23</f>
        <v>1284</v>
      </c>
      <c r="F47" s="158">
        <f t="shared" si="6"/>
        <v>16668</v>
      </c>
      <c r="G47" s="141">
        <f t="shared" si="5"/>
        <v>7.2888283378746588E-2</v>
      </c>
      <c r="H47" s="3">
        <f t="shared" si="7"/>
        <v>0.94618528610354224</v>
      </c>
    </row>
    <row r="48" spans="4:8" x14ac:dyDescent="0.25">
      <c r="D48" s="25" t="s">
        <v>105</v>
      </c>
      <c r="E48" s="112">
        <f>'3_ProcessusAchats'!W24</f>
        <v>948</v>
      </c>
      <c r="F48" s="158">
        <f>E48</f>
        <v>948</v>
      </c>
      <c r="G48" s="159">
        <f t="shared" si="5"/>
        <v>5.3814713896457762E-2</v>
      </c>
      <c r="H48" s="160">
        <f>G48</f>
        <v>5.3814713896457762E-2</v>
      </c>
    </row>
    <row r="49" spans="4:6" x14ac:dyDescent="0.25">
      <c r="D49" s="151" t="s">
        <v>137</v>
      </c>
      <c r="E49" s="157">
        <f>SUM(E40:E48)</f>
        <v>17616</v>
      </c>
      <c r="F49" s="157"/>
    </row>
  </sheetData>
  <sortState ref="D40:E48">
    <sortCondition descending="1" ref="E40:E48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3">
    <tabColor theme="9" tint="-0.249977111117893"/>
  </sheetPr>
  <dimension ref="A1:AK398"/>
  <sheetViews>
    <sheetView showGridLines="0" tabSelected="1" topLeftCell="A97" zoomScaleNormal="100" workbookViewId="0">
      <selection activeCell="L293" sqref="L293"/>
    </sheetView>
  </sheetViews>
  <sheetFormatPr baseColWidth="10" defaultRowHeight="15" x14ac:dyDescent="0.25"/>
  <cols>
    <col min="1" max="1" width="49.42578125" customWidth="1"/>
    <col min="2" max="4" width="16.5703125" bestFit="1" customWidth="1"/>
    <col min="5" max="8" width="14.28515625" bestFit="1" customWidth="1"/>
    <col min="9" max="11" width="11.5703125" bestFit="1" customWidth="1"/>
    <col min="12" max="12" width="11.7109375" bestFit="1" customWidth="1"/>
    <col min="13" max="14" width="13.28515625" bestFit="1" customWidth="1"/>
    <col min="15" max="15" width="11.42578125" customWidth="1"/>
    <col min="18" max="18" width="40.28515625" customWidth="1"/>
    <col min="19" max="19" width="18.5703125" bestFit="1" customWidth="1"/>
    <col min="21" max="21" width="8.5703125" customWidth="1"/>
    <col min="22" max="22" width="9.28515625" customWidth="1"/>
    <col min="23" max="23" width="19.42578125" customWidth="1"/>
    <col min="25" max="25" width="13.42578125" bestFit="1" customWidth="1"/>
  </cols>
  <sheetData>
    <row r="1" spans="1:29" x14ac:dyDescent="0.25">
      <c r="G1" s="214"/>
      <c r="H1" s="214"/>
      <c r="I1" s="214"/>
      <c r="J1" s="214"/>
      <c r="K1" s="214"/>
      <c r="L1" s="214"/>
      <c r="Q1" s="198"/>
    </row>
    <row r="2" spans="1:29" ht="15.75" thickBot="1" x14ac:dyDescent="0.3">
      <c r="B2" s="251">
        <v>2015</v>
      </c>
      <c r="C2" s="252">
        <v>2016</v>
      </c>
      <c r="D2" s="252">
        <v>2017</v>
      </c>
      <c r="E2" s="252">
        <v>2018</v>
      </c>
      <c r="G2" s="269" t="s">
        <v>189</v>
      </c>
      <c r="Q2" s="198"/>
    </row>
    <row r="3" spans="1:29" x14ac:dyDescent="0.25">
      <c r="A3" s="197"/>
      <c r="B3" s="219"/>
      <c r="C3" s="220"/>
      <c r="D3" s="220"/>
      <c r="E3" s="221"/>
      <c r="Q3" s="198"/>
    </row>
    <row r="4" spans="1:29" x14ac:dyDescent="0.25">
      <c r="A4" s="247" t="s">
        <v>156</v>
      </c>
      <c r="B4" s="248">
        <v>0.04</v>
      </c>
      <c r="C4" s="249">
        <v>0.01</v>
      </c>
      <c r="D4" s="249">
        <v>0.1</v>
      </c>
      <c r="E4" s="250"/>
      <c r="L4" s="214"/>
      <c r="M4" s="214"/>
      <c r="N4" s="214"/>
      <c r="O4" s="214"/>
      <c r="P4" s="215"/>
      <c r="Q4" s="215"/>
    </row>
    <row r="5" spans="1:29" x14ac:dyDescent="0.25">
      <c r="A5" s="222" t="s">
        <v>74</v>
      </c>
      <c r="B5" s="223">
        <v>50000000</v>
      </c>
      <c r="C5" s="224">
        <f>B5*480/420</f>
        <v>57142857.142857142</v>
      </c>
      <c r="D5" s="224">
        <f>C5*540/480</f>
        <v>64285714.285714284</v>
      </c>
      <c r="E5" s="225"/>
      <c r="L5" t="s">
        <v>191</v>
      </c>
      <c r="Q5" s="198"/>
    </row>
    <row r="6" spans="1:29" x14ac:dyDescent="0.25">
      <c r="A6" s="222" t="s">
        <v>155</v>
      </c>
      <c r="B6" s="226">
        <f>B5*(100%+B4)</f>
        <v>52000000</v>
      </c>
      <c r="C6" s="227">
        <f>C5*(100%+C4)</f>
        <v>57714285.714285716</v>
      </c>
      <c r="D6" s="227">
        <f>D5*(100%+D4)</f>
        <v>70714285.714285716</v>
      </c>
      <c r="E6" s="228"/>
      <c r="Q6" s="198"/>
    </row>
    <row r="7" spans="1:29" x14ac:dyDescent="0.25">
      <c r="A7" s="222"/>
      <c r="B7" s="229"/>
      <c r="C7" s="230"/>
      <c r="D7" s="230"/>
      <c r="E7" s="231"/>
      <c r="Q7" s="198"/>
    </row>
    <row r="8" spans="1:29" x14ac:dyDescent="0.25">
      <c r="A8" s="222" t="s">
        <v>157</v>
      </c>
      <c r="B8" s="229">
        <v>650000</v>
      </c>
      <c r="C8" s="230">
        <v>320000</v>
      </c>
      <c r="D8" s="230">
        <v>820000</v>
      </c>
      <c r="E8" s="231"/>
      <c r="Q8" s="198"/>
      <c r="S8" s="255"/>
    </row>
    <row r="9" spans="1:29" x14ac:dyDescent="0.25">
      <c r="A9" s="222" t="s">
        <v>158</v>
      </c>
      <c r="B9" s="232">
        <v>0.01</v>
      </c>
      <c r="C9" s="233">
        <v>0.09</v>
      </c>
      <c r="D9" s="233">
        <v>0.03</v>
      </c>
      <c r="E9" s="234"/>
      <c r="Q9" s="198"/>
    </row>
    <row r="10" spans="1:29" x14ac:dyDescent="0.25">
      <c r="A10" s="235"/>
      <c r="B10" s="236"/>
      <c r="C10" s="237"/>
      <c r="D10" s="237"/>
      <c r="E10" s="238"/>
      <c r="Q10" s="198"/>
      <c r="AC10" s="215"/>
    </row>
    <row r="11" spans="1:29" x14ac:dyDescent="0.25">
      <c r="A11" s="197" t="s">
        <v>193</v>
      </c>
      <c r="B11" s="248"/>
      <c r="C11" s="263">
        <v>2.5000000000000001E-2</v>
      </c>
      <c r="D11" s="263">
        <v>3.5000000000000003E-2</v>
      </c>
      <c r="E11" s="264">
        <v>0.01</v>
      </c>
      <c r="Q11" s="198"/>
      <c r="T11" s="254"/>
    </row>
    <row r="12" spans="1:29" x14ac:dyDescent="0.25">
      <c r="A12" s="197" t="s">
        <v>194</v>
      </c>
      <c r="B12" s="248"/>
      <c r="C12" s="263">
        <v>1.9E-2</v>
      </c>
      <c r="D12" s="263">
        <v>2.1000000000000001E-2</v>
      </c>
      <c r="E12" s="264">
        <v>1.2E-2</v>
      </c>
      <c r="Q12" s="198"/>
    </row>
    <row r="13" spans="1:29" x14ac:dyDescent="0.25">
      <c r="A13" s="197" t="s">
        <v>195</v>
      </c>
      <c r="B13" s="260"/>
      <c r="C13" s="261">
        <f>C12/C11</f>
        <v>0.7599999999999999</v>
      </c>
      <c r="D13" s="261">
        <f t="shared" ref="D13:E13" si="0">D12/D11</f>
        <v>0.6</v>
      </c>
      <c r="E13" s="262">
        <f t="shared" si="0"/>
        <v>1.2</v>
      </c>
      <c r="G13" s="269" t="s">
        <v>196</v>
      </c>
      <c r="H13" s="214"/>
      <c r="I13" s="214"/>
      <c r="J13" s="214"/>
      <c r="K13" s="214"/>
      <c r="Q13" s="198"/>
    </row>
    <row r="14" spans="1:29" x14ac:dyDescent="0.25">
      <c r="A14" s="197" t="s">
        <v>197</v>
      </c>
      <c r="B14" s="248"/>
      <c r="C14" s="258">
        <v>1</v>
      </c>
      <c r="D14" s="258">
        <v>1</v>
      </c>
      <c r="E14" s="259">
        <v>1</v>
      </c>
      <c r="Q14" s="198"/>
    </row>
    <row r="15" spans="1:29" x14ac:dyDescent="0.25">
      <c r="A15" s="197"/>
      <c r="B15" s="248"/>
      <c r="C15" s="249"/>
      <c r="D15" s="249"/>
      <c r="E15" s="250"/>
      <c r="Q15" s="198"/>
    </row>
    <row r="16" spans="1:29" x14ac:dyDescent="0.25">
      <c r="A16" s="197"/>
      <c r="B16" s="248"/>
      <c r="C16" s="249"/>
      <c r="D16" s="249"/>
      <c r="E16" s="250"/>
      <c r="Q16" s="198"/>
    </row>
    <row r="17" spans="1:28" x14ac:dyDescent="0.25">
      <c r="A17" s="197"/>
      <c r="B17" s="248"/>
      <c r="C17" s="249"/>
      <c r="D17" s="249"/>
      <c r="E17" s="250"/>
      <c r="Q17" s="198"/>
    </row>
    <row r="18" spans="1:28" x14ac:dyDescent="0.25">
      <c r="A18" s="197"/>
      <c r="B18" s="248"/>
      <c r="C18" s="249"/>
      <c r="D18" s="249"/>
      <c r="E18" s="250"/>
      <c r="Q18" s="198"/>
    </row>
    <row r="19" spans="1:28" x14ac:dyDescent="0.25">
      <c r="A19" s="197"/>
      <c r="B19" s="248"/>
      <c r="C19" s="249"/>
      <c r="D19" s="249"/>
      <c r="E19" s="250"/>
      <c r="Q19" s="198"/>
    </row>
    <row r="20" spans="1:28" x14ac:dyDescent="0.25">
      <c r="A20" s="197"/>
      <c r="B20" s="248"/>
      <c r="C20" s="249"/>
      <c r="D20" s="249"/>
      <c r="E20" s="250"/>
      <c r="Q20" s="198"/>
    </row>
    <row r="21" spans="1:28" x14ac:dyDescent="0.25">
      <c r="A21" s="197"/>
      <c r="B21" s="248"/>
      <c r="C21" s="249"/>
      <c r="D21" s="249"/>
      <c r="E21" s="250"/>
      <c r="Q21" s="198"/>
    </row>
    <row r="22" spans="1:28" x14ac:dyDescent="0.25">
      <c r="A22" s="197"/>
      <c r="B22" s="248"/>
      <c r="C22" s="249"/>
      <c r="D22" s="249"/>
      <c r="E22" s="250"/>
      <c r="Q22" s="198"/>
    </row>
    <row r="23" spans="1:28" x14ac:dyDescent="0.25">
      <c r="A23" s="197"/>
      <c r="B23" s="248"/>
      <c r="C23" s="249"/>
      <c r="D23" s="249"/>
      <c r="E23" s="250"/>
      <c r="Q23" s="198"/>
    </row>
    <row r="24" spans="1:28" x14ac:dyDescent="0.25">
      <c r="A24" s="197"/>
      <c r="B24" s="248"/>
      <c r="C24" s="249"/>
      <c r="D24" s="249"/>
      <c r="E24" s="250"/>
      <c r="Q24" s="198"/>
    </row>
    <row r="25" spans="1:28" x14ac:dyDescent="0.25">
      <c r="A25" s="197"/>
      <c r="B25" s="248"/>
      <c r="C25" s="249"/>
      <c r="D25" s="249"/>
      <c r="E25" s="250"/>
      <c r="Q25" s="198"/>
    </row>
    <row r="26" spans="1:28" x14ac:dyDescent="0.25">
      <c r="A26" s="197"/>
      <c r="B26" s="248"/>
      <c r="C26" s="249"/>
      <c r="D26" s="249"/>
      <c r="E26" s="250"/>
      <c r="Q26" s="198"/>
    </row>
    <row r="27" spans="1:28" x14ac:dyDescent="0.25">
      <c r="A27" s="197"/>
      <c r="B27" s="248"/>
      <c r="C27" s="249"/>
      <c r="D27" s="249"/>
      <c r="E27" s="250"/>
      <c r="Q27" s="198"/>
    </row>
    <row r="28" spans="1:28" x14ac:dyDescent="0.25">
      <c r="A28" s="197"/>
      <c r="B28" s="248"/>
      <c r="C28" s="249"/>
      <c r="D28" s="249"/>
      <c r="E28" s="250"/>
      <c r="Q28" s="198"/>
    </row>
    <row r="29" spans="1:28" x14ac:dyDescent="0.25">
      <c r="A29" s="197"/>
      <c r="B29" s="248"/>
      <c r="C29" s="249"/>
      <c r="D29" s="249"/>
      <c r="E29" s="250"/>
      <c r="Q29" s="198"/>
    </row>
    <row r="30" spans="1:28" x14ac:dyDescent="0.25">
      <c r="A30" s="197"/>
      <c r="B30" s="248"/>
      <c r="C30" s="249"/>
      <c r="D30" s="249"/>
      <c r="E30" s="250"/>
      <c r="Q30" s="198"/>
      <c r="W30" s="269" t="s">
        <v>200</v>
      </c>
      <c r="X30" s="214"/>
      <c r="Y30" s="214"/>
      <c r="Z30" s="214"/>
      <c r="AA30" s="214"/>
      <c r="AB30" s="214"/>
    </row>
    <row r="31" spans="1:28" ht="23.25" customHeight="1" thickBot="1" x14ac:dyDescent="0.3">
      <c r="A31" s="197"/>
      <c r="B31" s="248"/>
      <c r="C31" s="249"/>
      <c r="D31" s="249"/>
      <c r="E31" s="250"/>
      <c r="Q31" s="198"/>
      <c r="R31" s="200" t="s">
        <v>167</v>
      </c>
    </row>
    <row r="32" spans="1:28" ht="23.25" customHeight="1" x14ac:dyDescent="0.25">
      <c r="B32" s="248"/>
      <c r="C32" s="249"/>
      <c r="D32" s="249"/>
      <c r="E32" s="250"/>
      <c r="Q32" s="198"/>
      <c r="R32" s="207" t="s">
        <v>159</v>
      </c>
      <c r="S32" s="201" t="s">
        <v>162</v>
      </c>
      <c r="T32" s="202">
        <v>42662</v>
      </c>
      <c r="U32" s="270" t="str">
        <f>IF(OR(S32="OUI - prévu le :",S32="OUI - à la date :"),"J",IF(S32="NON - à programmer","K", "L"))</f>
        <v>J</v>
      </c>
    </row>
    <row r="33" spans="1:30" ht="23.25" customHeight="1" x14ac:dyDescent="0.25">
      <c r="B33" s="248"/>
      <c r="C33" s="249"/>
      <c r="D33" s="249"/>
      <c r="E33" s="250"/>
      <c r="Q33" s="198"/>
      <c r="R33" s="208" t="s">
        <v>160</v>
      </c>
      <c r="S33" s="203" t="s">
        <v>163</v>
      </c>
      <c r="T33" s="204"/>
      <c r="U33" s="271" t="str">
        <f t="shared" ref="U33:U35" si="1">IF(OR(S33="OUI - prévu le :",S33="OUI - à la date :"),"J",IF(S33="NON - à programmer","K", "L"))</f>
        <v>K</v>
      </c>
      <c r="V33" s="254"/>
    </row>
    <row r="34" spans="1:30" ht="23.25" customHeight="1" thickBot="1" x14ac:dyDescent="0.3">
      <c r="A34" s="218"/>
      <c r="B34" s="218"/>
      <c r="C34" s="218"/>
      <c r="D34" s="218"/>
      <c r="E34" s="218"/>
      <c r="Q34" s="198"/>
      <c r="R34" s="208" t="s">
        <v>166</v>
      </c>
      <c r="S34" s="203" t="s">
        <v>165</v>
      </c>
      <c r="T34" s="204"/>
      <c r="U34" s="271" t="str">
        <f t="shared" si="1"/>
        <v>J</v>
      </c>
    </row>
    <row r="35" spans="1:30" ht="23.25" customHeight="1" thickBot="1" x14ac:dyDescent="0.3">
      <c r="E35" s="216"/>
      <c r="G35" s="214"/>
      <c r="H35" s="214"/>
      <c r="I35" s="214"/>
      <c r="J35" s="214"/>
      <c r="Q35" s="198"/>
      <c r="R35" s="209" t="s">
        <v>161</v>
      </c>
      <c r="S35" s="205" t="s">
        <v>164</v>
      </c>
      <c r="T35" s="206"/>
      <c r="U35" s="272" t="str">
        <f t="shared" si="1"/>
        <v>L</v>
      </c>
    </row>
    <row r="36" spans="1:30" x14ac:dyDescent="0.25">
      <c r="Q36" s="198"/>
    </row>
    <row r="37" spans="1:30" x14ac:dyDescent="0.25">
      <c r="Q37" s="198"/>
    </row>
    <row r="38" spans="1:30" x14ac:dyDescent="0.25">
      <c r="Q38" s="198"/>
    </row>
    <row r="39" spans="1:30" ht="24.75" customHeight="1" thickBot="1" x14ac:dyDescent="0.3">
      <c r="B39" s="251">
        <v>2017</v>
      </c>
      <c r="C39" s="252">
        <v>2018</v>
      </c>
      <c r="D39" s="253">
        <v>2019</v>
      </c>
      <c r="Q39" s="198"/>
    </row>
    <row r="40" spans="1:30" ht="15.75" thickBot="1" x14ac:dyDescent="0.3">
      <c r="B40" s="219"/>
      <c r="C40" s="220"/>
      <c r="D40" s="221"/>
      <c r="Q40" s="198"/>
      <c r="R40" s="218"/>
      <c r="S40" s="218"/>
      <c r="T40" s="218"/>
      <c r="U40" s="218"/>
      <c r="V40" s="218"/>
      <c r="W40" s="218"/>
      <c r="X40" s="218"/>
      <c r="Y40" s="218"/>
      <c r="Z40" s="218"/>
      <c r="AA40" s="218"/>
      <c r="AB40" s="218"/>
      <c r="AC40" s="218"/>
      <c r="AD40" s="218"/>
    </row>
    <row r="41" spans="1:30" x14ac:dyDescent="0.25">
      <c r="A41" s="239" t="s">
        <v>171</v>
      </c>
      <c r="B41" s="232">
        <v>0.4</v>
      </c>
      <c r="C41" s="233">
        <v>0.55000000000000004</v>
      </c>
      <c r="D41" s="234">
        <v>0.25</v>
      </c>
      <c r="Q41" s="198"/>
    </row>
    <row r="42" spans="1:30" x14ac:dyDescent="0.25">
      <c r="A42" s="239" t="s">
        <v>168</v>
      </c>
      <c r="B42" s="223">
        <v>400000</v>
      </c>
      <c r="C42" s="224">
        <v>300000</v>
      </c>
      <c r="D42" s="225">
        <v>900000</v>
      </c>
      <c r="Q42" s="198"/>
      <c r="Y42" s="269" t="s">
        <v>220</v>
      </c>
      <c r="Z42" s="214"/>
      <c r="AA42" s="214"/>
      <c r="AB42" s="214"/>
      <c r="AC42" s="215"/>
      <c r="AD42" s="215"/>
    </row>
    <row r="43" spans="1:30" x14ac:dyDescent="0.25">
      <c r="A43" s="239" t="s">
        <v>169</v>
      </c>
      <c r="B43" s="240">
        <f>B42*B41</f>
        <v>160000</v>
      </c>
      <c r="C43" s="241">
        <f>C42*C41</f>
        <v>165000</v>
      </c>
      <c r="D43" s="242">
        <f>D42*D41</f>
        <v>225000</v>
      </c>
      <c r="V43" s="280" t="s">
        <v>219</v>
      </c>
    </row>
    <row r="44" spans="1:30" x14ac:dyDescent="0.25">
      <c r="A44" s="239" t="s">
        <v>170</v>
      </c>
      <c r="B44" s="243">
        <f>B42-B43</f>
        <v>240000</v>
      </c>
      <c r="C44" s="244">
        <f t="shared" ref="C44:D44" si="2">C42-C43</f>
        <v>135000</v>
      </c>
      <c r="D44" s="245">
        <f t="shared" si="2"/>
        <v>675000</v>
      </c>
      <c r="V44" s="279" t="s">
        <v>218</v>
      </c>
    </row>
    <row r="45" spans="1:30" x14ac:dyDescent="0.25">
      <c r="A45" s="246"/>
      <c r="B45" s="236"/>
      <c r="C45" s="237"/>
      <c r="D45" s="238"/>
      <c r="V45" s="276" t="s">
        <v>216</v>
      </c>
      <c r="W45" s="277" t="s">
        <v>201</v>
      </c>
    </row>
    <row r="46" spans="1:30" x14ac:dyDescent="0.25">
      <c r="A46" s="196"/>
      <c r="B46" s="219"/>
      <c r="C46" s="220"/>
      <c r="D46" s="221"/>
      <c r="U46" s="278"/>
      <c r="V46" s="273" t="s">
        <v>217</v>
      </c>
      <c r="W46" s="210">
        <v>42752</v>
      </c>
    </row>
    <row r="47" spans="1:30" x14ac:dyDescent="0.25">
      <c r="B47" s="219"/>
      <c r="C47" s="220"/>
      <c r="D47" s="221"/>
      <c r="U47" s="278"/>
      <c r="V47" s="274" t="s">
        <v>202</v>
      </c>
      <c r="W47" s="211">
        <f>W46+21</f>
        <v>42773</v>
      </c>
    </row>
    <row r="48" spans="1:30" x14ac:dyDescent="0.25">
      <c r="B48" s="219"/>
      <c r="C48" s="220"/>
      <c r="D48" s="221"/>
      <c r="U48" s="278"/>
      <c r="V48" s="274" t="s">
        <v>203</v>
      </c>
      <c r="W48" s="211">
        <f t="shared" ref="W48:W51" si="3">W47+21</f>
        <v>42794</v>
      </c>
    </row>
    <row r="49" spans="1:23" x14ac:dyDescent="0.25">
      <c r="B49" s="219"/>
      <c r="C49" s="220"/>
      <c r="D49" s="221"/>
      <c r="U49" s="278"/>
      <c r="V49" s="274" t="s">
        <v>204</v>
      </c>
      <c r="W49" s="211">
        <f t="shared" si="3"/>
        <v>42815</v>
      </c>
    </row>
    <row r="50" spans="1:23" x14ac:dyDescent="0.25">
      <c r="A50" s="239" t="s">
        <v>172</v>
      </c>
      <c r="B50" s="232">
        <v>0.5</v>
      </c>
      <c r="C50" s="233">
        <v>0.6</v>
      </c>
      <c r="D50" s="234">
        <v>0.25</v>
      </c>
      <c r="J50" s="269" t="s">
        <v>221</v>
      </c>
      <c r="K50" s="214"/>
      <c r="L50" s="214"/>
      <c r="M50" s="214"/>
      <c r="N50" s="214"/>
      <c r="U50" s="278"/>
      <c r="V50" s="274" t="s">
        <v>205</v>
      </c>
      <c r="W50" s="211">
        <f t="shared" si="3"/>
        <v>42836</v>
      </c>
    </row>
    <row r="51" spans="1:23" x14ac:dyDescent="0.25">
      <c r="A51" s="172"/>
      <c r="B51" s="229"/>
      <c r="C51" s="230"/>
      <c r="D51" s="231"/>
      <c r="U51" s="278"/>
      <c r="V51" s="274" t="s">
        <v>206</v>
      </c>
      <c r="W51" s="211">
        <f t="shared" si="3"/>
        <v>42857</v>
      </c>
    </row>
    <row r="52" spans="1:23" x14ac:dyDescent="0.25">
      <c r="A52" s="239" t="s">
        <v>222</v>
      </c>
      <c r="B52" s="232">
        <v>0.2</v>
      </c>
      <c r="C52" s="233">
        <v>0.27</v>
      </c>
      <c r="D52" s="234">
        <v>0.32</v>
      </c>
      <c r="U52" s="278"/>
      <c r="V52" s="274" t="s">
        <v>207</v>
      </c>
      <c r="W52" s="212"/>
    </row>
    <row r="53" spans="1:23" x14ac:dyDescent="0.25">
      <c r="A53" s="239" t="s">
        <v>223</v>
      </c>
      <c r="B53" s="232">
        <v>0.05</v>
      </c>
      <c r="C53" s="233">
        <v>0.08</v>
      </c>
      <c r="D53" s="234">
        <v>0.11</v>
      </c>
      <c r="U53" s="278"/>
      <c r="V53" s="274" t="s">
        <v>208</v>
      </c>
      <c r="W53" s="212"/>
    </row>
    <row r="54" spans="1:23" x14ac:dyDescent="0.25">
      <c r="B54" s="219"/>
      <c r="C54" s="220"/>
      <c r="D54" s="221"/>
      <c r="U54" s="278"/>
      <c r="V54" s="274" t="s">
        <v>209</v>
      </c>
      <c r="W54" s="212"/>
    </row>
    <row r="55" spans="1:23" x14ac:dyDescent="0.25">
      <c r="B55" s="219"/>
      <c r="C55" s="220"/>
      <c r="D55" s="221"/>
      <c r="U55" s="278"/>
      <c r="V55" s="274" t="s">
        <v>210</v>
      </c>
      <c r="W55" s="212"/>
    </row>
    <row r="56" spans="1:23" x14ac:dyDescent="0.25">
      <c r="B56" s="219"/>
      <c r="C56" s="220"/>
      <c r="D56" s="221"/>
      <c r="F56" s="269" t="s">
        <v>224</v>
      </c>
      <c r="G56" s="214"/>
      <c r="H56" s="214"/>
      <c r="I56" s="214"/>
      <c r="U56" s="278"/>
      <c r="V56" s="274" t="s">
        <v>211</v>
      </c>
      <c r="W56" s="212"/>
    </row>
    <row r="57" spans="1:23" x14ac:dyDescent="0.25">
      <c r="B57" s="219"/>
      <c r="C57" s="220"/>
      <c r="D57" s="221"/>
      <c r="U57" s="278"/>
      <c r="V57" s="274" t="s">
        <v>212</v>
      </c>
      <c r="W57" s="212"/>
    </row>
    <row r="58" spans="1:23" x14ac:dyDescent="0.25">
      <c r="B58" s="219"/>
      <c r="C58" s="220"/>
      <c r="D58" s="221"/>
      <c r="U58" s="278"/>
      <c r="V58" s="274" t="s">
        <v>213</v>
      </c>
      <c r="W58" s="212"/>
    </row>
    <row r="59" spans="1:23" x14ac:dyDescent="0.25">
      <c r="B59" s="219"/>
      <c r="C59" s="220"/>
      <c r="D59" s="221"/>
      <c r="U59" s="278"/>
      <c r="V59" s="274" t="s">
        <v>214</v>
      </c>
      <c r="W59" s="212"/>
    </row>
    <row r="60" spans="1:23" x14ac:dyDescent="0.25">
      <c r="B60" s="219"/>
      <c r="C60" s="220"/>
      <c r="D60" s="221"/>
      <c r="U60" s="278"/>
      <c r="V60" s="275" t="s">
        <v>215</v>
      </c>
      <c r="W60" s="213"/>
    </row>
    <row r="61" spans="1:23" x14ac:dyDescent="0.25">
      <c r="B61" s="219"/>
      <c r="C61" s="220"/>
      <c r="D61" s="221"/>
    </row>
    <row r="62" spans="1:23" x14ac:dyDescent="0.25">
      <c r="B62" s="219"/>
      <c r="C62" s="220"/>
      <c r="D62" s="221"/>
    </row>
    <row r="63" spans="1:23" x14ac:dyDescent="0.25">
      <c r="B63" s="219"/>
      <c r="C63" s="220"/>
      <c r="D63" s="221"/>
    </row>
    <row r="71" spans="1:16" ht="15.75" thickBot="1" x14ac:dyDescent="0.3">
      <c r="A71" s="218"/>
      <c r="B71" s="218"/>
      <c r="C71" s="218"/>
      <c r="D71" s="218"/>
      <c r="E71" s="218"/>
      <c r="F71" s="218"/>
      <c r="G71" s="218"/>
      <c r="H71" s="218"/>
      <c r="I71" s="218"/>
      <c r="J71" s="218"/>
      <c r="K71" s="218"/>
      <c r="L71" s="218"/>
    </row>
    <row r="73" spans="1:16" x14ac:dyDescent="0.25">
      <c r="G73" s="257" t="s">
        <v>192</v>
      </c>
      <c r="H73" s="257"/>
      <c r="I73" s="257"/>
      <c r="J73" s="257"/>
      <c r="K73" s="257"/>
      <c r="L73" s="257"/>
      <c r="M73" s="257"/>
      <c r="N73" s="257"/>
      <c r="O73" s="257"/>
      <c r="P73" s="257"/>
    </row>
    <row r="74" spans="1:16" x14ac:dyDescent="0.25">
      <c r="H74" s="269" t="s">
        <v>190</v>
      </c>
    </row>
    <row r="75" spans="1:16" x14ac:dyDescent="0.25">
      <c r="B75" s="217" t="s">
        <v>188</v>
      </c>
      <c r="C75" s="199">
        <f ca="1">RANDBETWEEN(25,55)/1000</f>
        <v>0.03</v>
      </c>
      <c r="D75" s="199">
        <f ca="1">RANDBETWEEN(25,55)/1000</f>
        <v>4.9000000000000002E-2</v>
      </c>
      <c r="E75" s="199">
        <f ca="1">RANDBETWEEN(25000,60000)</f>
        <v>40214</v>
      </c>
    </row>
    <row r="76" spans="1:16" x14ac:dyDescent="0.25">
      <c r="A76" s="256" t="s">
        <v>185</v>
      </c>
      <c r="B76" s="217" t="s">
        <v>187</v>
      </c>
      <c r="C76" t="s">
        <v>1</v>
      </c>
      <c r="D76" t="s">
        <v>2</v>
      </c>
      <c r="E76" t="s">
        <v>186</v>
      </c>
    </row>
    <row r="77" spans="1:16" x14ac:dyDescent="0.25">
      <c r="A77" s="256" t="s">
        <v>173</v>
      </c>
      <c r="B77">
        <v>2</v>
      </c>
      <c r="C77" s="17">
        <v>4.4999999999999998E-2</v>
      </c>
      <c r="D77" s="17">
        <v>3.7999999999999999E-2</v>
      </c>
      <c r="E77" s="195">
        <v>1</v>
      </c>
    </row>
    <row r="78" spans="1:16" x14ac:dyDescent="0.25">
      <c r="A78" s="256" t="s">
        <v>174</v>
      </c>
      <c r="B78">
        <v>3</v>
      </c>
      <c r="C78" s="17">
        <v>3.7999999999999999E-2</v>
      </c>
      <c r="D78" s="17">
        <v>4.4999999999999998E-2</v>
      </c>
      <c r="E78" s="195">
        <v>1</v>
      </c>
    </row>
    <row r="79" spans="1:16" x14ac:dyDescent="0.25">
      <c r="A79" s="256" t="s">
        <v>175</v>
      </c>
      <c r="B79">
        <v>4</v>
      </c>
      <c r="C79" s="17">
        <v>4.3999999999999997E-2</v>
      </c>
      <c r="D79" s="17">
        <v>2.9000000000000001E-2</v>
      </c>
      <c r="E79" s="195">
        <v>2</v>
      </c>
    </row>
    <row r="80" spans="1:16" x14ac:dyDescent="0.25">
      <c r="A80" s="256" t="s">
        <v>176</v>
      </c>
      <c r="B80">
        <v>5</v>
      </c>
      <c r="C80" s="17">
        <v>3.4000000000000002E-2</v>
      </c>
      <c r="D80" s="17">
        <v>3.3000000000000002E-2</v>
      </c>
      <c r="E80" s="195">
        <v>1</v>
      </c>
    </row>
    <row r="81" spans="1:5" x14ac:dyDescent="0.25">
      <c r="A81" s="256" t="s">
        <v>177</v>
      </c>
      <c r="B81">
        <v>6</v>
      </c>
      <c r="C81" s="17">
        <v>3.5000000000000003E-2</v>
      </c>
      <c r="D81" s="17">
        <v>3.7999999999999999E-2</v>
      </c>
      <c r="E81" s="195">
        <v>1</v>
      </c>
    </row>
    <row r="82" spans="1:5" x14ac:dyDescent="0.25">
      <c r="A82" s="256" t="s">
        <v>178</v>
      </c>
      <c r="B82">
        <v>7</v>
      </c>
      <c r="C82" s="17">
        <v>3.6999999999999998E-2</v>
      </c>
      <c r="D82" s="17">
        <v>4.1000000000000002E-2</v>
      </c>
      <c r="E82" s="195">
        <v>10</v>
      </c>
    </row>
    <row r="83" spans="1:5" x14ac:dyDescent="0.25">
      <c r="A83" s="256" t="s">
        <v>179</v>
      </c>
      <c r="B83">
        <v>8</v>
      </c>
      <c r="C83" s="17">
        <v>4.7E-2</v>
      </c>
      <c r="D83" s="17">
        <v>2.5000000000000001E-2</v>
      </c>
      <c r="E83" s="195">
        <v>1</v>
      </c>
    </row>
    <row r="84" spans="1:5" x14ac:dyDescent="0.25">
      <c r="A84" s="256" t="s">
        <v>180</v>
      </c>
      <c r="B84">
        <v>9</v>
      </c>
      <c r="C84" s="17">
        <v>3.5000000000000003E-2</v>
      </c>
      <c r="D84" s="17">
        <v>2.5999999999999999E-2</v>
      </c>
      <c r="E84" s="195">
        <v>1</v>
      </c>
    </row>
    <row r="85" spans="1:5" x14ac:dyDescent="0.25">
      <c r="A85" s="256" t="s">
        <v>181</v>
      </c>
      <c r="B85">
        <v>10</v>
      </c>
      <c r="C85" s="17">
        <v>2.7E-2</v>
      </c>
      <c r="D85" s="17">
        <v>5.2999999999999999E-2</v>
      </c>
      <c r="E85" s="195">
        <v>1</v>
      </c>
    </row>
    <row r="86" spans="1:5" x14ac:dyDescent="0.25">
      <c r="A86" s="256" t="s">
        <v>182</v>
      </c>
      <c r="B86">
        <v>11</v>
      </c>
      <c r="C86" s="17">
        <v>4.4999999999999998E-2</v>
      </c>
      <c r="D86" s="17">
        <v>4.2000000000000003E-2</v>
      </c>
      <c r="E86" s="195">
        <v>1</v>
      </c>
    </row>
    <row r="87" spans="1:5" x14ac:dyDescent="0.25">
      <c r="A87" s="256" t="s">
        <v>183</v>
      </c>
      <c r="B87">
        <v>12</v>
      </c>
      <c r="C87" s="17">
        <v>2.8000000000000001E-2</v>
      </c>
      <c r="D87" s="17">
        <v>5.3999999999999999E-2</v>
      </c>
      <c r="E87" s="195">
        <v>1</v>
      </c>
    </row>
    <row r="88" spans="1:5" x14ac:dyDescent="0.25">
      <c r="A88" s="256" t="s">
        <v>184</v>
      </c>
      <c r="B88">
        <v>13</v>
      </c>
      <c r="C88" s="17">
        <v>5.0999999999999997E-2</v>
      </c>
      <c r="D88" s="17">
        <v>4.3999999999999997E-2</v>
      </c>
      <c r="E88" s="195">
        <v>1</v>
      </c>
    </row>
    <row r="89" spans="1:5" x14ac:dyDescent="0.25">
      <c r="A89" s="256" t="s">
        <v>72</v>
      </c>
      <c r="B89">
        <v>1</v>
      </c>
      <c r="C89" s="3">
        <f>AVERAGE(C77:C88)</f>
        <v>3.8833333333333338E-2</v>
      </c>
      <c r="D89" s="3">
        <f>AVERAGE(D77:D88)</f>
        <v>3.9E-2</v>
      </c>
      <c r="E89" s="195">
        <v>1</v>
      </c>
    </row>
    <row r="100" spans="1:14" ht="15.75" thickBot="1" x14ac:dyDescent="0.3">
      <c r="A100" s="218"/>
      <c r="B100" s="218"/>
      <c r="C100" s="218"/>
      <c r="D100" s="218"/>
      <c r="E100" s="218"/>
      <c r="F100" s="218"/>
      <c r="G100" s="218"/>
      <c r="H100" s="218"/>
      <c r="I100" s="218"/>
      <c r="J100" s="218"/>
      <c r="K100" s="218"/>
      <c r="L100" s="218"/>
    </row>
    <row r="101" spans="1:14" x14ac:dyDescent="0.25">
      <c r="A101" s="265"/>
      <c r="B101" s="289">
        <v>600000</v>
      </c>
      <c r="C101" s="289">
        <v>120000</v>
      </c>
      <c r="D101" s="289">
        <v>450000</v>
      </c>
      <c r="E101" s="289">
        <v>400000</v>
      </c>
      <c r="F101" s="289">
        <v>220000</v>
      </c>
      <c r="G101" s="289">
        <v>500000</v>
      </c>
      <c r="H101" s="289">
        <v>580000</v>
      </c>
      <c r="I101" s="289">
        <v>80000</v>
      </c>
      <c r="J101" s="289">
        <v>875000</v>
      </c>
      <c r="K101" s="289">
        <v>150000</v>
      </c>
      <c r="L101" s="289">
        <v>970000</v>
      </c>
      <c r="M101" s="289">
        <v>275000</v>
      </c>
    </row>
    <row r="102" spans="1:14" x14ac:dyDescent="0.25">
      <c r="B102" s="268">
        <v>1</v>
      </c>
      <c r="C102" s="268">
        <v>2</v>
      </c>
      <c r="D102" s="268">
        <v>3</v>
      </c>
      <c r="E102" s="268">
        <v>4</v>
      </c>
      <c r="F102" s="268">
        <v>5</v>
      </c>
      <c r="G102" s="268">
        <v>6</v>
      </c>
      <c r="H102" s="268">
        <v>7</v>
      </c>
      <c r="I102" s="268">
        <v>8</v>
      </c>
      <c r="J102" s="268">
        <v>9</v>
      </c>
      <c r="K102" s="268">
        <v>10</v>
      </c>
      <c r="L102" s="268">
        <v>11</v>
      </c>
      <c r="M102" s="268">
        <v>12</v>
      </c>
    </row>
    <row r="103" spans="1:14" x14ac:dyDescent="0.25">
      <c r="B103" s="20" t="s">
        <v>59</v>
      </c>
      <c r="C103" s="20" t="s">
        <v>60</v>
      </c>
      <c r="D103" s="20" t="s">
        <v>61</v>
      </c>
      <c r="E103" s="20" t="s">
        <v>62</v>
      </c>
      <c r="F103" s="20" t="s">
        <v>63</v>
      </c>
      <c r="G103" s="20" t="s">
        <v>64</v>
      </c>
      <c r="H103" s="20" t="s">
        <v>65</v>
      </c>
      <c r="I103" s="20" t="s">
        <v>66</v>
      </c>
      <c r="J103" s="20" t="s">
        <v>67</v>
      </c>
      <c r="K103" s="20" t="s">
        <v>68</v>
      </c>
      <c r="L103" s="20" t="s">
        <v>69</v>
      </c>
      <c r="M103" s="20" t="s">
        <v>70</v>
      </c>
      <c r="N103" s="20" t="s">
        <v>72</v>
      </c>
    </row>
    <row r="104" spans="1:14" x14ac:dyDescent="0.25">
      <c r="A104" s="288" t="s">
        <v>253</v>
      </c>
      <c r="B104" s="267">
        <f>IF(B102&lt;&gt;12,B101/12*(12-B102),0)</f>
        <v>550000</v>
      </c>
      <c r="C104" s="267">
        <f t="shared" ref="C104:L104" si="4">IF(C102&lt;&gt;12,C101/12*(12-C102),0)</f>
        <v>100000</v>
      </c>
      <c r="D104" s="267">
        <f t="shared" si="4"/>
        <v>337500</v>
      </c>
      <c r="E104" s="267">
        <f t="shared" si="4"/>
        <v>266666.66666666669</v>
      </c>
      <c r="F104" s="267">
        <f t="shared" si="4"/>
        <v>128333.33333333333</v>
      </c>
      <c r="G104" s="267">
        <f t="shared" si="4"/>
        <v>250000</v>
      </c>
      <c r="H104" s="267">
        <f t="shared" si="4"/>
        <v>241666.66666666669</v>
      </c>
      <c r="I104" s="267">
        <f t="shared" si="4"/>
        <v>26666.666666666668</v>
      </c>
      <c r="J104" s="267">
        <f t="shared" si="4"/>
        <v>218750</v>
      </c>
      <c r="K104" s="267">
        <f t="shared" si="4"/>
        <v>25000</v>
      </c>
      <c r="L104" s="267">
        <f t="shared" si="4"/>
        <v>80833.333333333328</v>
      </c>
      <c r="M104" s="267">
        <f>IF(M102&lt;&gt;12,M101/12*(12-M102),0)</f>
        <v>0</v>
      </c>
      <c r="N104" s="266">
        <f>SUM(B104:M104)</f>
        <v>2225416.666666667</v>
      </c>
    </row>
    <row r="105" spans="1:14" x14ac:dyDescent="0.25">
      <c r="A105" s="288" t="s">
        <v>198</v>
      </c>
      <c r="B105" s="267">
        <f>IFERROR(B104/(12-B102)*B102,B101)</f>
        <v>50000</v>
      </c>
      <c r="C105" s="267">
        <f t="shared" ref="C105:M105" si="5">IFERROR(C104/(12-C102)*C102,C101)</f>
        <v>20000</v>
      </c>
      <c r="D105" s="267">
        <f t="shared" si="5"/>
        <v>112500</v>
      </c>
      <c r="E105" s="267">
        <f t="shared" si="5"/>
        <v>133333.33333333334</v>
      </c>
      <c r="F105" s="267">
        <f t="shared" si="5"/>
        <v>91666.666666666657</v>
      </c>
      <c r="G105" s="267">
        <f t="shared" si="5"/>
        <v>250000</v>
      </c>
      <c r="H105" s="267">
        <f t="shared" si="5"/>
        <v>338333.33333333337</v>
      </c>
      <c r="I105" s="267">
        <f t="shared" si="5"/>
        <v>53333.333333333336</v>
      </c>
      <c r="J105" s="267">
        <f t="shared" si="5"/>
        <v>656250</v>
      </c>
      <c r="K105" s="267">
        <f t="shared" si="5"/>
        <v>125000</v>
      </c>
      <c r="L105" s="267">
        <f t="shared" si="5"/>
        <v>889166.66666666663</v>
      </c>
      <c r="M105" s="267">
        <f t="shared" si="5"/>
        <v>275000</v>
      </c>
      <c r="N105" s="266">
        <f>SUM(B105:M105)</f>
        <v>2994583.3333333335</v>
      </c>
    </row>
    <row r="106" spans="1:14" x14ac:dyDescent="0.25">
      <c r="A106" s="288" t="s">
        <v>254</v>
      </c>
      <c r="B106" s="266">
        <f>SUM(B104:B105)</f>
        <v>600000</v>
      </c>
      <c r="C106" s="266">
        <f t="shared" ref="C106:N106" si="6">SUM(C104:C105)</f>
        <v>120000</v>
      </c>
      <c r="D106" s="266">
        <f t="shared" si="6"/>
        <v>450000</v>
      </c>
      <c r="E106" s="266">
        <f t="shared" si="6"/>
        <v>400000</v>
      </c>
      <c r="F106" s="266">
        <f t="shared" si="6"/>
        <v>220000</v>
      </c>
      <c r="G106" s="266">
        <f t="shared" si="6"/>
        <v>500000</v>
      </c>
      <c r="H106" s="266">
        <f t="shared" si="6"/>
        <v>580000</v>
      </c>
      <c r="I106" s="266">
        <f t="shared" si="6"/>
        <v>80000</v>
      </c>
      <c r="J106" s="266">
        <f t="shared" si="6"/>
        <v>875000</v>
      </c>
      <c r="K106" s="266">
        <f t="shared" si="6"/>
        <v>150000</v>
      </c>
      <c r="L106" s="266">
        <f t="shared" si="6"/>
        <v>970000</v>
      </c>
      <c r="M106" s="266">
        <f t="shared" si="6"/>
        <v>275000</v>
      </c>
      <c r="N106" s="266">
        <f t="shared" si="6"/>
        <v>5220000</v>
      </c>
    </row>
    <row r="107" spans="1:14" x14ac:dyDescent="0.25">
      <c r="B107" s="2"/>
      <c r="C107" s="2"/>
      <c r="D107" s="2"/>
      <c r="E107" s="214"/>
      <c r="F107" s="214"/>
      <c r="G107" s="214"/>
      <c r="H107" s="214"/>
      <c r="I107" s="214"/>
      <c r="J107" s="214"/>
      <c r="K107" s="2"/>
      <c r="L107" s="2"/>
      <c r="M107" s="2"/>
    </row>
    <row r="109" spans="1:14" x14ac:dyDescent="0.25">
      <c r="D109" s="269" t="s">
        <v>199</v>
      </c>
    </row>
    <row r="127" spans="1:12" ht="15.75" thickBot="1" x14ac:dyDescent="0.3">
      <c r="A127" s="218"/>
      <c r="B127" s="218"/>
      <c r="C127" s="218"/>
      <c r="D127" s="218"/>
      <c r="E127" s="218"/>
      <c r="F127" s="218"/>
      <c r="G127" s="218"/>
      <c r="H127" s="218"/>
      <c r="I127" s="218"/>
      <c r="J127" s="218"/>
      <c r="K127" s="218"/>
      <c r="L127" s="218"/>
    </row>
    <row r="128" spans="1:12" x14ac:dyDescent="0.25">
      <c r="A128" s="217">
        <v>2017</v>
      </c>
      <c r="B128" s="282" t="s">
        <v>225</v>
      </c>
      <c r="D128" s="282"/>
      <c r="E128" s="282"/>
      <c r="F128" s="265"/>
      <c r="G128" s="265"/>
      <c r="H128" s="265"/>
      <c r="I128" s="265"/>
      <c r="J128" s="265"/>
      <c r="K128" s="265"/>
      <c r="L128" s="265"/>
    </row>
    <row r="129" spans="1:18" x14ac:dyDescent="0.25">
      <c r="A129" s="217">
        <v>2018</v>
      </c>
      <c r="B129" s="282" t="s">
        <v>226</v>
      </c>
      <c r="L129" s="269" t="s">
        <v>229</v>
      </c>
      <c r="M129" s="214"/>
      <c r="N129" s="214"/>
      <c r="O129" s="214"/>
      <c r="P129" s="214"/>
      <c r="Q129" s="214"/>
      <c r="R129" s="215"/>
    </row>
    <row r="130" spans="1:18" x14ac:dyDescent="0.25">
      <c r="A130" s="217">
        <v>1</v>
      </c>
      <c r="B130" s="217">
        <v>2</v>
      </c>
      <c r="C130" s="217">
        <v>3</v>
      </c>
      <c r="D130" s="217">
        <v>4</v>
      </c>
      <c r="E130" s="5"/>
    </row>
    <row r="132" spans="1:18" x14ac:dyDescent="0.25">
      <c r="B132" s="281" t="str">
        <f>"T"&amp;A130&amp;$A$128</f>
        <v>T12017</v>
      </c>
      <c r="C132" s="281" t="str">
        <f>"T"&amp;B130&amp;$A$128</f>
        <v>T22017</v>
      </c>
      <c r="D132" s="281" t="str">
        <f>"T"&amp;C130&amp;$A$128</f>
        <v>T32017</v>
      </c>
      <c r="E132" s="281" t="str">
        <f>"T"&amp;D130&amp;$A$128</f>
        <v>T42017</v>
      </c>
      <c r="F132" s="281" t="str">
        <f>"T"&amp;A130&amp;$A$129</f>
        <v>T12018</v>
      </c>
      <c r="G132" s="281" t="str">
        <f>"T"&amp;B130&amp;$A$129</f>
        <v>T22018</v>
      </c>
      <c r="H132" s="281" t="str">
        <f>"T"&amp;C130&amp;$A$129</f>
        <v>T32018</v>
      </c>
      <c r="I132" s="281" t="str">
        <f>"T"&amp;D130&amp;$A$129</f>
        <v>T42018</v>
      </c>
    </row>
    <row r="134" spans="1:18" ht="30" x14ac:dyDescent="0.25">
      <c r="A134" s="9" t="s">
        <v>227</v>
      </c>
      <c r="B134" s="283">
        <v>0.16</v>
      </c>
      <c r="C134" s="283">
        <v>0.11</v>
      </c>
      <c r="D134" s="283">
        <v>0.14000000000000001</v>
      </c>
      <c r="E134" s="283">
        <v>0.19</v>
      </c>
      <c r="F134" s="283">
        <v>0</v>
      </c>
      <c r="G134" s="283">
        <v>0</v>
      </c>
      <c r="H134" s="283">
        <v>0</v>
      </c>
      <c r="I134" s="283">
        <v>0</v>
      </c>
    </row>
    <row r="135" spans="1:18" ht="30" x14ac:dyDescent="0.25">
      <c r="A135" s="9" t="s">
        <v>228</v>
      </c>
      <c r="B135">
        <v>0</v>
      </c>
      <c r="C135">
        <v>0</v>
      </c>
      <c r="D135">
        <v>0</v>
      </c>
      <c r="E135">
        <v>0</v>
      </c>
      <c r="F135" s="283">
        <v>0.09</v>
      </c>
      <c r="G135" s="283">
        <v>0.13</v>
      </c>
      <c r="H135" s="283">
        <v>7.0000000000000007E-2</v>
      </c>
      <c r="I135" s="283">
        <v>0.09</v>
      </c>
    </row>
    <row r="142" spans="1:18" x14ac:dyDescent="0.25">
      <c r="A142" s="285"/>
      <c r="B142" s="285"/>
      <c r="C142" s="285"/>
      <c r="D142" s="285"/>
      <c r="E142" s="285"/>
      <c r="F142" s="285"/>
      <c r="G142" s="285"/>
      <c r="H142" s="285"/>
      <c r="I142" s="285"/>
      <c r="J142" s="285"/>
      <c r="K142" s="285"/>
      <c r="L142" s="285"/>
      <c r="M142" s="285"/>
      <c r="N142" s="285"/>
      <c r="O142" s="285"/>
      <c r="P142" s="285"/>
      <c r="Q142" s="285"/>
    </row>
    <row r="144" spans="1:18" x14ac:dyDescent="0.25">
      <c r="A144" s="217">
        <v>2017</v>
      </c>
      <c r="B144" s="282" t="s">
        <v>238</v>
      </c>
    </row>
    <row r="145" spans="1:26" x14ac:dyDescent="0.25">
      <c r="A145" s="217">
        <v>2018</v>
      </c>
      <c r="B145" s="282" t="s">
        <v>239</v>
      </c>
    </row>
    <row r="146" spans="1:26" x14ac:dyDescent="0.25">
      <c r="A146" s="284" t="s">
        <v>230</v>
      </c>
      <c r="B146" s="284" t="s">
        <v>231</v>
      </c>
      <c r="C146" s="284" t="s">
        <v>61</v>
      </c>
      <c r="D146" s="284" t="s">
        <v>62</v>
      </c>
      <c r="E146" s="284" t="s">
        <v>63</v>
      </c>
      <c r="F146" s="284" t="s">
        <v>64</v>
      </c>
      <c r="G146" s="284" t="s">
        <v>232</v>
      </c>
      <c r="H146" s="284" t="s">
        <v>233</v>
      </c>
      <c r="I146" s="284" t="s">
        <v>236</v>
      </c>
      <c r="J146" s="284" t="s">
        <v>237</v>
      </c>
      <c r="K146" s="284" t="s">
        <v>234</v>
      </c>
      <c r="L146" s="284" t="s">
        <v>235</v>
      </c>
    </row>
    <row r="148" spans="1:26" x14ac:dyDescent="0.25">
      <c r="B148" s="281" t="str">
        <f>A146&amp;"-"&amp;RIGHT($A$128,2)</f>
        <v>Jan-17</v>
      </c>
      <c r="C148" s="281" t="str">
        <f t="shared" ref="C148:M148" si="7">B146&amp;"-"&amp;RIGHT($A$128,2)</f>
        <v>Fev-17</v>
      </c>
      <c r="D148" s="281" t="str">
        <f t="shared" si="7"/>
        <v>Mars-17</v>
      </c>
      <c r="E148" s="281" t="str">
        <f t="shared" si="7"/>
        <v>Avril-17</v>
      </c>
      <c r="F148" s="281" t="str">
        <f t="shared" si="7"/>
        <v>Mai-17</v>
      </c>
      <c r="G148" s="281" t="str">
        <f t="shared" si="7"/>
        <v>Juin-17</v>
      </c>
      <c r="H148" s="281" t="str">
        <f t="shared" si="7"/>
        <v>Juil-17</v>
      </c>
      <c r="I148" s="281" t="str">
        <f t="shared" si="7"/>
        <v>Aout-17</v>
      </c>
      <c r="J148" s="281" t="str">
        <f t="shared" si="7"/>
        <v>Sept-17</v>
      </c>
      <c r="K148" s="281" t="str">
        <f t="shared" si="7"/>
        <v>Oct-17</v>
      </c>
      <c r="L148" s="281" t="str">
        <f t="shared" si="7"/>
        <v>Nov-17</v>
      </c>
      <c r="M148" s="281" t="str">
        <f t="shared" si="7"/>
        <v>Dec-17</v>
      </c>
      <c r="N148" s="281" t="str">
        <f>A146&amp;"-"&amp;RIGHT($A$129,2)</f>
        <v>Jan-18</v>
      </c>
      <c r="O148" s="281" t="str">
        <f t="shared" ref="O148:Y148" si="8">B146&amp;"-"&amp;RIGHT($A$129,2)</f>
        <v>Fev-18</v>
      </c>
      <c r="P148" s="281" t="str">
        <f t="shared" si="8"/>
        <v>Mars-18</v>
      </c>
      <c r="Q148" s="281" t="str">
        <f t="shared" si="8"/>
        <v>Avril-18</v>
      </c>
      <c r="R148" s="281" t="str">
        <f t="shared" si="8"/>
        <v>Mai-18</v>
      </c>
      <c r="S148" s="281" t="str">
        <f t="shared" si="8"/>
        <v>Juin-18</v>
      </c>
      <c r="T148" s="281" t="str">
        <f t="shared" si="8"/>
        <v>Juil-18</v>
      </c>
      <c r="U148" s="281" t="str">
        <f t="shared" si="8"/>
        <v>Aout-18</v>
      </c>
      <c r="V148" s="281" t="str">
        <f t="shared" si="8"/>
        <v>Sept-18</v>
      </c>
      <c r="W148" s="281" t="str">
        <f t="shared" si="8"/>
        <v>Oct-18</v>
      </c>
      <c r="X148" s="281" t="str">
        <f t="shared" si="8"/>
        <v>Nov-18</v>
      </c>
      <c r="Y148" s="281" t="str">
        <f t="shared" si="8"/>
        <v>Dec-18</v>
      </c>
      <c r="Z148" s="281"/>
    </row>
    <row r="149" spans="1:26" x14ac:dyDescent="0.25">
      <c r="A149" s="9" t="s">
        <v>256</v>
      </c>
      <c r="B149">
        <v>1</v>
      </c>
      <c r="C149">
        <v>5</v>
      </c>
      <c r="D149">
        <v>8</v>
      </c>
      <c r="E149">
        <v>15</v>
      </c>
      <c r="F149">
        <v>13</v>
      </c>
      <c r="G149">
        <v>11</v>
      </c>
      <c r="H149">
        <v>4</v>
      </c>
      <c r="I149">
        <v>5</v>
      </c>
      <c r="J149">
        <v>13</v>
      </c>
      <c r="K149">
        <v>12</v>
      </c>
      <c r="L149">
        <v>11</v>
      </c>
      <c r="M149">
        <v>4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</row>
    <row r="150" spans="1:26" x14ac:dyDescent="0.25">
      <c r="A150" s="9" t="s">
        <v>257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5</v>
      </c>
      <c r="O150">
        <v>2</v>
      </c>
      <c r="P150">
        <v>7</v>
      </c>
      <c r="Q150">
        <v>2</v>
      </c>
      <c r="R150">
        <v>7</v>
      </c>
      <c r="S150">
        <v>6</v>
      </c>
      <c r="T150">
        <v>0</v>
      </c>
      <c r="U150">
        <v>5</v>
      </c>
      <c r="V150">
        <v>10</v>
      </c>
      <c r="W150">
        <v>1</v>
      </c>
      <c r="X150">
        <v>3</v>
      </c>
      <c r="Y150">
        <v>10</v>
      </c>
    </row>
    <row r="153" spans="1:26" x14ac:dyDescent="0.25">
      <c r="A153" s="269" t="s">
        <v>240</v>
      </c>
    </row>
    <row r="169" spans="1:37" x14ac:dyDescent="0.25">
      <c r="A169" s="285"/>
      <c r="B169" s="285"/>
      <c r="C169" s="285"/>
      <c r="D169" s="285"/>
      <c r="E169" s="285"/>
      <c r="F169" s="285"/>
      <c r="G169" s="285"/>
      <c r="H169" s="285"/>
      <c r="I169" s="285"/>
      <c r="J169" s="285"/>
      <c r="K169" s="285"/>
      <c r="L169" s="285"/>
      <c r="M169" s="285"/>
      <c r="N169" s="285"/>
      <c r="O169" s="285"/>
      <c r="P169" s="285"/>
      <c r="Q169" s="285"/>
      <c r="R169" s="285"/>
    </row>
    <row r="170" spans="1:37" x14ac:dyDescent="0.25">
      <c r="B170" s="290" t="s">
        <v>255</v>
      </c>
    </row>
    <row r="171" spans="1:37" x14ac:dyDescent="0.25">
      <c r="A171" s="217">
        <v>2015</v>
      </c>
      <c r="B171" s="282"/>
    </row>
    <row r="172" spans="1:37" x14ac:dyDescent="0.25">
      <c r="A172" s="217">
        <v>2016</v>
      </c>
      <c r="B172" s="282"/>
    </row>
    <row r="173" spans="1:37" x14ac:dyDescent="0.25">
      <c r="A173" s="217">
        <v>2017</v>
      </c>
      <c r="B173" s="282"/>
    </row>
    <row r="174" spans="1:37" x14ac:dyDescent="0.25">
      <c r="A174" s="284" t="s">
        <v>230</v>
      </c>
      <c r="B174" s="284" t="s">
        <v>231</v>
      </c>
      <c r="C174" s="284" t="s">
        <v>61</v>
      </c>
      <c r="D174" s="284" t="s">
        <v>62</v>
      </c>
      <c r="E174" s="284" t="s">
        <v>63</v>
      </c>
      <c r="F174" s="284" t="s">
        <v>64</v>
      </c>
      <c r="G174" s="284" t="s">
        <v>232</v>
      </c>
      <c r="H174" s="284" t="s">
        <v>233</v>
      </c>
      <c r="I174" s="284" t="s">
        <v>236</v>
      </c>
      <c r="J174" s="284" t="s">
        <v>237</v>
      </c>
      <c r="K174" s="284" t="s">
        <v>234</v>
      </c>
      <c r="L174" s="284" t="s">
        <v>235</v>
      </c>
    </row>
    <row r="176" spans="1:37" x14ac:dyDescent="0.25">
      <c r="B176" s="281" t="str">
        <f>A174&amp;"-"&amp;RIGHT($A$171,2)</f>
        <v>Jan-15</v>
      </c>
      <c r="C176" s="281" t="str">
        <f t="shared" ref="C176:M176" si="9">B174&amp;"-"&amp;RIGHT($A$171,2)</f>
        <v>Fev-15</v>
      </c>
      <c r="D176" s="281" t="str">
        <f t="shared" si="9"/>
        <v>Mars-15</v>
      </c>
      <c r="E176" s="281" t="str">
        <f t="shared" si="9"/>
        <v>Avril-15</v>
      </c>
      <c r="F176" s="281" t="str">
        <f t="shared" si="9"/>
        <v>Mai-15</v>
      </c>
      <c r="G176" s="281" t="str">
        <f t="shared" si="9"/>
        <v>Juin-15</v>
      </c>
      <c r="H176" s="281" t="str">
        <f t="shared" si="9"/>
        <v>Juil-15</v>
      </c>
      <c r="I176" s="281" t="str">
        <f t="shared" si="9"/>
        <v>Aout-15</v>
      </c>
      <c r="J176" s="281" t="str">
        <f t="shared" si="9"/>
        <v>Sept-15</v>
      </c>
      <c r="K176" s="281" t="str">
        <f t="shared" si="9"/>
        <v>Oct-15</v>
      </c>
      <c r="L176" s="281" t="str">
        <f t="shared" si="9"/>
        <v>Nov-15</v>
      </c>
      <c r="M176" s="281" t="str">
        <f t="shared" si="9"/>
        <v>Dec-15</v>
      </c>
      <c r="N176" s="281" t="str">
        <f>A174&amp;"-"&amp;RIGHT($A$172,2)</f>
        <v>Jan-16</v>
      </c>
      <c r="O176" s="281" t="str">
        <f t="shared" ref="O176:Y176" si="10">B174&amp;"-"&amp;RIGHT($A$172,2)</f>
        <v>Fev-16</v>
      </c>
      <c r="P176" s="281" t="str">
        <f t="shared" si="10"/>
        <v>Mars-16</v>
      </c>
      <c r="Q176" s="281" t="str">
        <f t="shared" si="10"/>
        <v>Avril-16</v>
      </c>
      <c r="R176" s="281" t="str">
        <f t="shared" si="10"/>
        <v>Mai-16</v>
      </c>
      <c r="S176" s="281" t="str">
        <f t="shared" si="10"/>
        <v>Juin-16</v>
      </c>
      <c r="T176" s="281" t="str">
        <f t="shared" si="10"/>
        <v>Juil-16</v>
      </c>
      <c r="U176" s="281" t="str">
        <f t="shared" si="10"/>
        <v>Aout-16</v>
      </c>
      <c r="V176" s="281" t="str">
        <f t="shared" si="10"/>
        <v>Sept-16</v>
      </c>
      <c r="W176" s="281" t="str">
        <f t="shared" si="10"/>
        <v>Oct-16</v>
      </c>
      <c r="X176" s="281" t="str">
        <f t="shared" si="10"/>
        <v>Nov-16</v>
      </c>
      <c r="Y176" s="281" t="str">
        <f t="shared" si="10"/>
        <v>Dec-16</v>
      </c>
      <c r="Z176" s="281" t="str">
        <f>A174&amp;"-"&amp;RIGHT($A$173,2)</f>
        <v>Jan-17</v>
      </c>
      <c r="AA176" s="281" t="str">
        <f t="shared" ref="AA176:AK176" si="11">B174&amp;"-"&amp;RIGHT($A$173,2)</f>
        <v>Fev-17</v>
      </c>
      <c r="AB176" s="281" t="str">
        <f t="shared" si="11"/>
        <v>Mars-17</v>
      </c>
      <c r="AC176" s="281" t="str">
        <f t="shared" si="11"/>
        <v>Avril-17</v>
      </c>
      <c r="AD176" s="281" t="str">
        <f t="shared" si="11"/>
        <v>Mai-17</v>
      </c>
      <c r="AE176" s="281" t="str">
        <f t="shared" si="11"/>
        <v>Juin-17</v>
      </c>
      <c r="AF176" s="281" t="str">
        <f t="shared" si="11"/>
        <v>Juil-17</v>
      </c>
      <c r="AG176" s="281" t="str">
        <f t="shared" si="11"/>
        <v>Aout-17</v>
      </c>
      <c r="AH176" s="281" t="str">
        <f t="shared" si="11"/>
        <v>Sept-17</v>
      </c>
      <c r="AI176" s="281" t="str">
        <f t="shared" si="11"/>
        <v>Oct-17</v>
      </c>
      <c r="AJ176" s="281" t="str">
        <f t="shared" si="11"/>
        <v>Nov-17</v>
      </c>
      <c r="AK176" s="281" t="str">
        <f t="shared" si="11"/>
        <v>Dec-17</v>
      </c>
    </row>
    <row r="177" spans="1:37" x14ac:dyDescent="0.25">
      <c r="A177" s="9" t="s">
        <v>259</v>
      </c>
      <c r="B177">
        <v>23</v>
      </c>
      <c r="C177">
        <v>5</v>
      </c>
      <c r="D177">
        <v>12</v>
      </c>
      <c r="E177">
        <v>6</v>
      </c>
      <c r="F177">
        <v>2</v>
      </c>
      <c r="G177">
        <v>5</v>
      </c>
      <c r="H177">
        <v>4</v>
      </c>
      <c r="I177">
        <v>5</v>
      </c>
      <c r="J177">
        <v>5</v>
      </c>
      <c r="K177">
        <v>8</v>
      </c>
      <c r="L177">
        <v>3</v>
      </c>
      <c r="M177">
        <v>5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</row>
    <row r="178" spans="1:37" x14ac:dyDescent="0.25">
      <c r="A178" s="9" t="s">
        <v>260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21</v>
      </c>
      <c r="O178">
        <v>9</v>
      </c>
      <c r="P178">
        <v>7</v>
      </c>
      <c r="Q178">
        <v>4</v>
      </c>
      <c r="R178">
        <v>7</v>
      </c>
      <c r="S178">
        <v>8</v>
      </c>
      <c r="T178">
        <v>7</v>
      </c>
      <c r="U178">
        <v>3</v>
      </c>
      <c r="V178">
        <v>6</v>
      </c>
      <c r="W178">
        <v>5</v>
      </c>
      <c r="X178">
        <v>3</v>
      </c>
      <c r="Y178">
        <v>6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</row>
    <row r="179" spans="1:37" x14ac:dyDescent="0.25">
      <c r="A179" s="9" t="s">
        <v>258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26</v>
      </c>
      <c r="AA179">
        <v>11</v>
      </c>
      <c r="AB179">
        <v>5</v>
      </c>
      <c r="AC179">
        <v>9</v>
      </c>
      <c r="AD179">
        <v>7</v>
      </c>
      <c r="AE179">
        <v>2</v>
      </c>
      <c r="AF179">
        <v>7</v>
      </c>
      <c r="AG179">
        <v>9</v>
      </c>
      <c r="AH179">
        <v>8</v>
      </c>
      <c r="AI179">
        <v>4</v>
      </c>
      <c r="AJ179">
        <v>5</v>
      </c>
      <c r="AK179">
        <v>3</v>
      </c>
    </row>
    <row r="182" spans="1:37" x14ac:dyDescent="0.25">
      <c r="A182" s="269" t="s">
        <v>241</v>
      </c>
    </row>
    <row r="199" spans="1:16" x14ac:dyDescent="0.25">
      <c r="A199" s="285"/>
      <c r="B199" s="285"/>
      <c r="C199" s="285"/>
      <c r="D199" s="285"/>
      <c r="E199" s="285"/>
      <c r="F199" s="285"/>
      <c r="G199" s="285"/>
      <c r="H199" s="285"/>
      <c r="I199" s="285"/>
      <c r="J199" s="285"/>
      <c r="K199" s="285"/>
      <c r="L199" s="285"/>
      <c r="M199" s="285"/>
      <c r="N199" s="285"/>
      <c r="O199" s="285"/>
      <c r="P199" s="285"/>
    </row>
    <row r="200" spans="1:16" x14ac:dyDescent="0.25">
      <c r="A200" s="287" t="s">
        <v>242</v>
      </c>
      <c r="B200" s="287" t="s">
        <v>244</v>
      </c>
      <c r="H200" s="269" t="s">
        <v>250</v>
      </c>
    </row>
    <row r="201" spans="1:16" x14ac:dyDescent="0.25">
      <c r="A201" s="287" t="s">
        <v>243</v>
      </c>
      <c r="B201" s="287" t="s">
        <v>245</v>
      </c>
    </row>
    <row r="202" spans="1:16" x14ac:dyDescent="0.25">
      <c r="A202" s="217">
        <v>2017</v>
      </c>
    </row>
    <row r="203" spans="1:16" x14ac:dyDescent="0.25">
      <c r="A203" s="217"/>
    </row>
    <row r="204" spans="1:16" x14ac:dyDescent="0.25">
      <c r="A204" s="217">
        <v>1</v>
      </c>
      <c r="B204" s="217">
        <v>2</v>
      </c>
      <c r="C204" s="217">
        <v>3</v>
      </c>
      <c r="D204" s="217">
        <v>4</v>
      </c>
      <c r="F204" s="286" t="s">
        <v>248</v>
      </c>
    </row>
    <row r="205" spans="1:16" x14ac:dyDescent="0.25">
      <c r="B205" s="281" t="str">
        <f>"T"&amp;A204&amp;"-"&amp;RIGHT($A$128,4)</f>
        <v>T1-2017</v>
      </c>
      <c r="C205" s="281" t="str">
        <f t="shared" ref="C205:E205" si="12">"T"&amp;B204&amp;"-"&amp;RIGHT($A$128,4)</f>
        <v>T2-2017</v>
      </c>
      <c r="D205" s="281" t="str">
        <f t="shared" si="12"/>
        <v>T3-2017</v>
      </c>
      <c r="E205" s="281" t="str">
        <f t="shared" si="12"/>
        <v>T4-2017</v>
      </c>
      <c r="F205" t="s">
        <v>249</v>
      </c>
    </row>
    <row r="206" spans="1:16" x14ac:dyDescent="0.25">
      <c r="A206" t="s">
        <v>242</v>
      </c>
      <c r="B206">
        <v>299000</v>
      </c>
      <c r="C206">
        <v>170000</v>
      </c>
      <c r="D206">
        <v>220000</v>
      </c>
      <c r="E206">
        <v>268000</v>
      </c>
      <c r="F206" s="199">
        <f>AVERAGE(B206:E206)</f>
        <v>239250</v>
      </c>
    </row>
    <row r="207" spans="1:16" x14ac:dyDescent="0.25">
      <c r="A207" t="s">
        <v>243</v>
      </c>
      <c r="B207">
        <v>220000</v>
      </c>
      <c r="C207">
        <v>152000</v>
      </c>
      <c r="D207">
        <v>205000</v>
      </c>
      <c r="E207">
        <v>195000</v>
      </c>
      <c r="F207" s="199">
        <f>AVERAGE(B207:E207)</f>
        <v>193000</v>
      </c>
    </row>
    <row r="208" spans="1:16" x14ac:dyDescent="0.25">
      <c r="A208" t="s">
        <v>247</v>
      </c>
      <c r="B208">
        <v>200000</v>
      </c>
      <c r="C208">
        <v>200000</v>
      </c>
      <c r="D208">
        <v>200000</v>
      </c>
      <c r="E208">
        <v>200000</v>
      </c>
      <c r="F208">
        <v>200000</v>
      </c>
    </row>
    <row r="209" spans="1:8" x14ac:dyDescent="0.25">
      <c r="A209" t="s">
        <v>246</v>
      </c>
      <c r="B209">
        <v>250000</v>
      </c>
      <c r="C209">
        <v>250000</v>
      </c>
      <c r="D209">
        <v>250000</v>
      </c>
      <c r="E209">
        <v>250000</v>
      </c>
      <c r="F209">
        <v>250000</v>
      </c>
    </row>
    <row r="212" spans="1:8" x14ac:dyDescent="0.25">
      <c r="H212" s="269" t="s">
        <v>252</v>
      </c>
    </row>
    <row r="214" spans="1:8" x14ac:dyDescent="0.25">
      <c r="A214" t="s">
        <v>242</v>
      </c>
      <c r="B214">
        <v>319000</v>
      </c>
      <c r="C214">
        <v>220000</v>
      </c>
      <c r="D214">
        <v>310000</v>
      </c>
      <c r="E214">
        <v>255000</v>
      </c>
      <c r="F214" s="199">
        <f>AVERAGE(B214:E214)</f>
        <v>276000</v>
      </c>
    </row>
    <row r="215" spans="1:8" x14ac:dyDescent="0.25">
      <c r="A215" t="s">
        <v>243</v>
      </c>
      <c r="B215">
        <v>230000</v>
      </c>
      <c r="C215">
        <v>180000</v>
      </c>
      <c r="D215">
        <v>265000</v>
      </c>
      <c r="E215">
        <v>220000</v>
      </c>
      <c r="F215" s="199">
        <f>AVERAGE(B215:E215)</f>
        <v>223750</v>
      </c>
    </row>
    <row r="216" spans="1:8" x14ac:dyDescent="0.25">
      <c r="A216" t="s">
        <v>246</v>
      </c>
      <c r="B216">
        <v>250000</v>
      </c>
      <c r="C216">
        <v>250000</v>
      </c>
      <c r="D216">
        <v>250000</v>
      </c>
      <c r="E216">
        <v>250000</v>
      </c>
      <c r="F216">
        <v>250000</v>
      </c>
    </row>
    <row r="217" spans="1:8" x14ac:dyDescent="0.25">
      <c r="A217" t="s">
        <v>251</v>
      </c>
      <c r="B217">
        <v>300000</v>
      </c>
      <c r="C217">
        <v>300000</v>
      </c>
      <c r="D217">
        <v>300000</v>
      </c>
      <c r="E217">
        <v>300000</v>
      </c>
      <c r="F217">
        <v>300000</v>
      </c>
    </row>
    <row r="226" spans="1:17" x14ac:dyDescent="0.25">
      <c r="A226" s="291"/>
      <c r="B226" s="291"/>
      <c r="C226" s="291"/>
      <c r="D226" s="291"/>
      <c r="E226" s="291"/>
      <c r="F226" s="291"/>
      <c r="G226" s="291"/>
      <c r="H226" s="291"/>
      <c r="I226" s="291"/>
      <c r="J226" s="291"/>
      <c r="K226" s="291"/>
      <c r="L226" s="291"/>
      <c r="M226" s="291"/>
      <c r="N226" s="291"/>
      <c r="O226" s="291"/>
      <c r="P226" s="291"/>
      <c r="Q226" s="291"/>
    </row>
    <row r="228" spans="1:17" x14ac:dyDescent="0.25">
      <c r="C228" s="269" t="s">
        <v>264</v>
      </c>
    </row>
    <row r="230" spans="1:17" x14ac:dyDescent="0.25">
      <c r="A230" s="292" t="s">
        <v>261</v>
      </c>
      <c r="B230" s="293">
        <v>0.62</v>
      </c>
    </row>
    <row r="231" spans="1:17" x14ac:dyDescent="0.25">
      <c r="A231" s="294" t="s">
        <v>262</v>
      </c>
      <c r="B231" s="295">
        <v>0.22</v>
      </c>
    </row>
    <row r="232" spans="1:17" x14ac:dyDescent="0.25">
      <c r="A232" s="296" t="s">
        <v>263</v>
      </c>
      <c r="B232" s="297">
        <v>0.16</v>
      </c>
    </row>
    <row r="241" spans="1:3" x14ac:dyDescent="0.25">
      <c r="A241" t="s">
        <v>282</v>
      </c>
      <c r="C241" s="269" t="s">
        <v>265</v>
      </c>
    </row>
    <row r="243" spans="1:3" x14ac:dyDescent="0.25">
      <c r="A243" s="292" t="s">
        <v>175</v>
      </c>
      <c r="B243" s="318">
        <f>100%-SUM(B244:B253)</f>
        <v>0.68899999999999995</v>
      </c>
    </row>
    <row r="244" spans="1:3" x14ac:dyDescent="0.25">
      <c r="A244" s="299" t="s">
        <v>269</v>
      </c>
      <c r="B244" s="298">
        <v>5.8999999999999997E-2</v>
      </c>
    </row>
    <row r="245" spans="1:3" x14ac:dyDescent="0.25">
      <c r="A245" s="299" t="s">
        <v>272</v>
      </c>
      <c r="B245" s="298">
        <v>5.1999999999999998E-2</v>
      </c>
    </row>
    <row r="246" spans="1:3" x14ac:dyDescent="0.25">
      <c r="A246" s="299" t="s">
        <v>274</v>
      </c>
      <c r="B246" s="298">
        <v>5.0999999999999997E-2</v>
      </c>
    </row>
    <row r="247" spans="1:3" x14ac:dyDescent="0.25">
      <c r="A247" s="294" t="s">
        <v>174</v>
      </c>
      <c r="B247" s="298">
        <v>3.5000000000000003E-2</v>
      </c>
    </row>
    <row r="248" spans="1:3" x14ac:dyDescent="0.25">
      <c r="A248" s="299" t="s">
        <v>271</v>
      </c>
      <c r="B248" s="298">
        <v>3.2000000000000001E-2</v>
      </c>
    </row>
    <row r="249" spans="1:3" x14ac:dyDescent="0.25">
      <c r="A249" s="299" t="s">
        <v>268</v>
      </c>
      <c r="B249" s="298">
        <v>2.8000000000000001E-2</v>
      </c>
    </row>
    <row r="250" spans="1:3" x14ac:dyDescent="0.25">
      <c r="A250" s="299" t="s">
        <v>267</v>
      </c>
      <c r="B250" s="298">
        <v>1.9E-2</v>
      </c>
    </row>
    <row r="251" spans="1:3" x14ac:dyDescent="0.25">
      <c r="A251" s="294" t="s">
        <v>266</v>
      </c>
      <c r="B251" s="298">
        <v>1.4999999999999999E-2</v>
      </c>
    </row>
    <row r="252" spans="1:3" x14ac:dyDescent="0.25">
      <c r="A252" s="299" t="s">
        <v>270</v>
      </c>
      <c r="B252" s="298">
        <v>1.2E-2</v>
      </c>
    </row>
    <row r="253" spans="1:3" x14ac:dyDescent="0.25">
      <c r="A253" s="300" t="s">
        <v>273</v>
      </c>
      <c r="B253" s="301">
        <v>8.0000000000000002E-3</v>
      </c>
    </row>
    <row r="256" spans="1:3" x14ac:dyDescent="0.25">
      <c r="A256" t="s">
        <v>283</v>
      </c>
      <c r="C256" s="269" t="s">
        <v>275</v>
      </c>
    </row>
    <row r="258" spans="1:12" x14ac:dyDescent="0.25">
      <c r="A258" s="292" t="s">
        <v>175</v>
      </c>
      <c r="B258" s="317">
        <f>100%-SUM(B259:B264)</f>
        <v>0.70899999999999996</v>
      </c>
    </row>
    <row r="259" spans="1:12" x14ac:dyDescent="0.25">
      <c r="A259" s="294" t="s">
        <v>280</v>
      </c>
      <c r="B259" s="302">
        <v>0.17299999999999999</v>
      </c>
    </row>
    <row r="260" spans="1:12" x14ac:dyDescent="0.25">
      <c r="A260" s="294" t="s">
        <v>278</v>
      </c>
      <c r="B260" s="302">
        <v>3.6999999999999998E-2</v>
      </c>
    </row>
    <row r="261" spans="1:12" x14ac:dyDescent="0.25">
      <c r="A261" s="294" t="s">
        <v>277</v>
      </c>
      <c r="B261" s="302">
        <v>2.8000000000000001E-2</v>
      </c>
    </row>
    <row r="262" spans="1:12" x14ac:dyDescent="0.25">
      <c r="A262" s="294" t="s">
        <v>276</v>
      </c>
      <c r="B262" s="302">
        <v>2.1999999999999999E-2</v>
      </c>
    </row>
    <row r="263" spans="1:12" x14ac:dyDescent="0.25">
      <c r="A263" s="294" t="s">
        <v>279</v>
      </c>
      <c r="B263" s="302">
        <v>1.7999999999999999E-2</v>
      </c>
    </row>
    <row r="264" spans="1:12" x14ac:dyDescent="0.25">
      <c r="A264" s="296" t="s">
        <v>281</v>
      </c>
      <c r="B264" s="303">
        <v>1.2999999999999999E-2</v>
      </c>
    </row>
    <row r="272" spans="1:12" x14ac:dyDescent="0.25">
      <c r="A272" s="285"/>
      <c r="B272" s="285"/>
      <c r="C272" s="285"/>
      <c r="D272" s="285"/>
      <c r="E272" s="285"/>
      <c r="F272" s="285"/>
      <c r="G272" s="285"/>
      <c r="H272" s="285"/>
      <c r="I272" s="285"/>
      <c r="J272" s="285"/>
      <c r="K272" s="285"/>
      <c r="L272" s="285"/>
    </row>
    <row r="273" spans="1:5" x14ac:dyDescent="0.25">
      <c r="A273" s="304" t="s">
        <v>284</v>
      </c>
      <c r="C273" s="304" t="s">
        <v>285</v>
      </c>
      <c r="D273" s="309"/>
      <c r="E273" s="309"/>
    </row>
    <row r="275" spans="1:5" x14ac:dyDescent="0.25">
      <c r="A275" s="310" t="s">
        <v>289</v>
      </c>
    </row>
    <row r="277" spans="1:5" x14ac:dyDescent="0.25">
      <c r="A277" t="s">
        <v>286</v>
      </c>
      <c r="B277" s="281">
        <v>2015</v>
      </c>
      <c r="C277" s="281">
        <v>2016</v>
      </c>
      <c r="D277" s="281">
        <v>2017</v>
      </c>
    </row>
    <row r="278" spans="1:5" x14ac:dyDescent="0.25">
      <c r="A278" s="292" t="s">
        <v>287</v>
      </c>
      <c r="B278" s="305">
        <v>123000</v>
      </c>
      <c r="C278" s="305">
        <v>134000</v>
      </c>
      <c r="D278" s="306">
        <v>125000</v>
      </c>
    </row>
    <row r="279" spans="1:5" x14ac:dyDescent="0.25">
      <c r="A279" s="294" t="s">
        <v>288</v>
      </c>
      <c r="B279" s="307">
        <v>276000</v>
      </c>
      <c r="C279" s="307">
        <v>281000</v>
      </c>
      <c r="D279" s="308">
        <v>289980</v>
      </c>
    </row>
    <row r="280" spans="1:5" x14ac:dyDescent="0.25">
      <c r="A280" s="296" t="s">
        <v>137</v>
      </c>
      <c r="B280" s="315">
        <f>SUM(B278:B279)</f>
        <v>399000</v>
      </c>
      <c r="C280" s="315">
        <f t="shared" ref="C280:D280" si="13">SUM(C278:C279)</f>
        <v>415000</v>
      </c>
      <c r="D280" s="316">
        <f t="shared" si="13"/>
        <v>414980</v>
      </c>
    </row>
    <row r="285" spans="1:5" x14ac:dyDescent="0.25">
      <c r="A285" t="s">
        <v>290</v>
      </c>
    </row>
    <row r="286" spans="1:5" x14ac:dyDescent="0.25">
      <c r="A286" s="292" t="s">
        <v>291</v>
      </c>
      <c r="B286" s="314">
        <f>(100%-SUM(B287:B291))</f>
        <v>0.36</v>
      </c>
    </row>
    <row r="287" spans="1:5" x14ac:dyDescent="0.25">
      <c r="A287" s="294" t="s">
        <v>292</v>
      </c>
      <c r="B287" s="312">
        <v>0.25</v>
      </c>
    </row>
    <row r="288" spans="1:5" x14ac:dyDescent="0.25">
      <c r="A288" s="294" t="s">
        <v>293</v>
      </c>
      <c r="B288" s="312">
        <v>0.06</v>
      </c>
    </row>
    <row r="289" spans="1:2" x14ac:dyDescent="0.25">
      <c r="A289" s="294" t="s">
        <v>294</v>
      </c>
      <c r="B289" s="312">
        <v>0.08</v>
      </c>
    </row>
    <row r="290" spans="1:2" x14ac:dyDescent="0.25">
      <c r="A290" s="294" t="s">
        <v>295</v>
      </c>
      <c r="B290" s="312">
        <v>0.1</v>
      </c>
    </row>
    <row r="291" spans="1:2" x14ac:dyDescent="0.25">
      <c r="A291" s="296" t="s">
        <v>296</v>
      </c>
      <c r="B291" s="313">
        <v>0.15</v>
      </c>
    </row>
    <row r="300" spans="1:2" x14ac:dyDescent="0.25">
      <c r="A300" t="s">
        <v>297</v>
      </c>
    </row>
    <row r="301" spans="1:2" x14ac:dyDescent="0.25">
      <c r="A301" s="292" t="s">
        <v>298</v>
      </c>
      <c r="B301" s="311">
        <v>0.53</v>
      </c>
    </row>
    <row r="302" spans="1:2" x14ac:dyDescent="0.25">
      <c r="A302" s="294" t="s">
        <v>299</v>
      </c>
      <c r="B302" s="312">
        <v>0.22</v>
      </c>
    </row>
    <row r="303" spans="1:2" x14ac:dyDescent="0.25">
      <c r="A303" s="294" t="s">
        <v>300</v>
      </c>
      <c r="B303" s="312">
        <v>0.11</v>
      </c>
    </row>
    <row r="304" spans="1:2" x14ac:dyDescent="0.25">
      <c r="A304" s="294" t="s">
        <v>301</v>
      </c>
      <c r="B304" s="312">
        <v>0.06</v>
      </c>
    </row>
    <row r="305" spans="1:3" x14ac:dyDescent="0.25">
      <c r="A305" s="294" t="s">
        <v>302</v>
      </c>
      <c r="B305" s="312">
        <v>0.04</v>
      </c>
    </row>
    <row r="306" spans="1:3" x14ac:dyDescent="0.25">
      <c r="A306" s="294" t="s">
        <v>303</v>
      </c>
      <c r="B306" s="312">
        <v>0.02</v>
      </c>
    </row>
    <row r="307" spans="1:3" x14ac:dyDescent="0.25">
      <c r="A307" s="294" t="s">
        <v>304</v>
      </c>
      <c r="B307" s="312">
        <v>0.01</v>
      </c>
    </row>
    <row r="308" spans="1:3" x14ac:dyDescent="0.25">
      <c r="A308" s="294" t="s">
        <v>305</v>
      </c>
      <c r="B308" s="312">
        <v>0.01</v>
      </c>
    </row>
    <row r="309" spans="1:3" x14ac:dyDescent="0.25">
      <c r="A309" s="296" t="s">
        <v>306</v>
      </c>
      <c r="B309" s="313">
        <v>0</v>
      </c>
    </row>
    <row r="314" spans="1:3" x14ac:dyDescent="0.25">
      <c r="A314" s="319" t="s">
        <v>307</v>
      </c>
    </row>
    <row r="316" spans="1:3" x14ac:dyDescent="0.25">
      <c r="A316" s="5" t="s">
        <v>308</v>
      </c>
    </row>
    <row r="317" spans="1:3" x14ac:dyDescent="0.25">
      <c r="A317" s="292" t="s">
        <v>309</v>
      </c>
      <c r="B317" s="320">
        <v>7.0000000000000007E-2</v>
      </c>
      <c r="C317" s="324">
        <v>13400000</v>
      </c>
    </row>
    <row r="318" spans="1:3" x14ac:dyDescent="0.25">
      <c r="A318" s="294" t="s">
        <v>310</v>
      </c>
      <c r="B318" s="321">
        <v>0.06</v>
      </c>
      <c r="C318" s="324">
        <v>10560000</v>
      </c>
    </row>
    <row r="319" spans="1:3" x14ac:dyDescent="0.25">
      <c r="A319" s="294" t="s">
        <v>311</v>
      </c>
      <c r="B319" s="321">
        <v>0.05</v>
      </c>
      <c r="C319" s="324">
        <v>8950000</v>
      </c>
    </row>
    <row r="320" spans="1:3" x14ac:dyDescent="0.25">
      <c r="A320" s="294" t="s">
        <v>312</v>
      </c>
      <c r="B320" s="321">
        <v>0.05</v>
      </c>
      <c r="C320" s="324">
        <v>8890000</v>
      </c>
    </row>
    <row r="321" spans="1:3" x14ac:dyDescent="0.25">
      <c r="A321" s="294" t="s">
        <v>313</v>
      </c>
      <c r="B321" s="321">
        <v>0.04</v>
      </c>
      <c r="C321" s="324">
        <v>7080000</v>
      </c>
    </row>
    <row r="322" spans="1:3" x14ac:dyDescent="0.25">
      <c r="A322" s="294" t="s">
        <v>314</v>
      </c>
      <c r="B322" s="321">
        <v>0.03</v>
      </c>
      <c r="C322" s="324">
        <v>5760000</v>
      </c>
    </row>
    <row r="323" spans="1:3" x14ac:dyDescent="0.25">
      <c r="A323" s="294" t="s">
        <v>320</v>
      </c>
      <c r="B323" s="321">
        <v>0.03</v>
      </c>
      <c r="C323" s="324">
        <v>5150000</v>
      </c>
    </row>
    <row r="324" spans="1:3" x14ac:dyDescent="0.25">
      <c r="A324" s="294" t="s">
        <v>315</v>
      </c>
      <c r="B324" s="321">
        <v>0.02</v>
      </c>
      <c r="C324" s="324">
        <v>4370000</v>
      </c>
    </row>
    <row r="325" spans="1:3" x14ac:dyDescent="0.25">
      <c r="A325" s="294" t="s">
        <v>316</v>
      </c>
      <c r="B325" s="321">
        <v>0.02</v>
      </c>
      <c r="C325" s="324">
        <v>3720000</v>
      </c>
    </row>
    <row r="326" spans="1:3" x14ac:dyDescent="0.25">
      <c r="A326" s="294" t="s">
        <v>317</v>
      </c>
      <c r="B326" s="321">
        <v>0.02</v>
      </c>
      <c r="C326" s="324">
        <v>3440000</v>
      </c>
    </row>
    <row r="327" spans="1:3" x14ac:dyDescent="0.25">
      <c r="A327" s="294" t="s">
        <v>318</v>
      </c>
      <c r="B327" s="321">
        <v>0.15</v>
      </c>
      <c r="C327" s="324">
        <v>26660000</v>
      </c>
    </row>
    <row r="328" spans="1:3" x14ac:dyDescent="0.25">
      <c r="A328" s="296" t="s">
        <v>319</v>
      </c>
      <c r="B328" s="322">
        <v>0.46</v>
      </c>
      <c r="C328" s="324">
        <v>83440000</v>
      </c>
    </row>
    <row r="331" spans="1:3" x14ac:dyDescent="0.25">
      <c r="A331" s="5" t="s">
        <v>321</v>
      </c>
    </row>
    <row r="332" spans="1:3" x14ac:dyDescent="0.25">
      <c r="A332" s="292" t="s">
        <v>330</v>
      </c>
      <c r="B332" s="320"/>
      <c r="C332" s="325">
        <v>3840000</v>
      </c>
    </row>
    <row r="333" spans="1:3" x14ac:dyDescent="0.25">
      <c r="A333" s="299" t="s">
        <v>322</v>
      </c>
      <c r="B333" s="321"/>
      <c r="C333" s="326">
        <v>2200000</v>
      </c>
    </row>
    <row r="334" spans="1:3" x14ac:dyDescent="0.25">
      <c r="A334" s="299" t="s">
        <v>323</v>
      </c>
      <c r="B334" s="321"/>
      <c r="C334" s="326">
        <v>1590000</v>
      </c>
    </row>
    <row r="335" spans="1:3" x14ac:dyDescent="0.25">
      <c r="A335" s="299" t="s">
        <v>324</v>
      </c>
      <c r="B335" s="321"/>
      <c r="C335" s="326">
        <v>870000</v>
      </c>
    </row>
    <row r="336" spans="1:3" x14ac:dyDescent="0.25">
      <c r="A336" s="299" t="s">
        <v>331</v>
      </c>
      <c r="B336" s="321"/>
      <c r="C336" s="326">
        <v>840000</v>
      </c>
    </row>
    <row r="337" spans="1:3" x14ac:dyDescent="0.25">
      <c r="A337" s="299" t="s">
        <v>325</v>
      </c>
      <c r="B337" s="321"/>
      <c r="C337" s="326">
        <v>810000</v>
      </c>
    </row>
    <row r="338" spans="1:3" x14ac:dyDescent="0.25">
      <c r="A338" s="299" t="s">
        <v>326</v>
      </c>
      <c r="B338" s="321"/>
      <c r="C338" s="326">
        <v>740000</v>
      </c>
    </row>
    <row r="339" spans="1:3" x14ac:dyDescent="0.25">
      <c r="A339" s="299" t="s">
        <v>327</v>
      </c>
      <c r="B339" s="321"/>
      <c r="C339" s="326">
        <v>450000</v>
      </c>
    </row>
    <row r="340" spans="1:3" x14ac:dyDescent="0.25">
      <c r="A340" s="299" t="s">
        <v>328</v>
      </c>
      <c r="B340" s="321"/>
      <c r="C340" s="326">
        <v>390000</v>
      </c>
    </row>
    <row r="341" spans="1:3" x14ac:dyDescent="0.25">
      <c r="A341" s="299" t="s">
        <v>329</v>
      </c>
      <c r="B341" s="321"/>
      <c r="C341" s="326">
        <v>380000</v>
      </c>
    </row>
    <row r="342" spans="1:3" x14ac:dyDescent="0.25">
      <c r="A342" s="299" t="s">
        <v>318</v>
      </c>
      <c r="B342" s="321"/>
      <c r="C342" s="326">
        <v>2770000</v>
      </c>
    </row>
    <row r="343" spans="1:3" x14ac:dyDescent="0.25">
      <c r="A343" s="300" t="s">
        <v>319</v>
      </c>
      <c r="B343" s="322"/>
      <c r="C343" s="327">
        <v>4970000</v>
      </c>
    </row>
    <row r="345" spans="1:3" x14ac:dyDescent="0.25">
      <c r="A345" s="5" t="s">
        <v>332</v>
      </c>
    </row>
    <row r="346" spans="1:3" x14ac:dyDescent="0.25">
      <c r="A346" s="292" t="s">
        <v>333</v>
      </c>
      <c r="B346" s="320"/>
      <c r="C346" s="325">
        <v>4139999.9999999995</v>
      </c>
    </row>
    <row r="347" spans="1:3" x14ac:dyDescent="0.25">
      <c r="A347" s="299" t="s">
        <v>341</v>
      </c>
      <c r="B347" s="321"/>
      <c r="C347" s="326">
        <v>4030000.0000000005</v>
      </c>
    </row>
    <row r="348" spans="1:3" x14ac:dyDescent="0.25">
      <c r="A348" s="299" t="s">
        <v>342</v>
      </c>
      <c r="B348" s="321"/>
      <c r="C348" s="326">
        <v>3550000</v>
      </c>
    </row>
    <row r="349" spans="1:3" x14ac:dyDescent="0.25">
      <c r="A349" s="299" t="s">
        <v>334</v>
      </c>
      <c r="B349" s="321"/>
      <c r="C349" s="326">
        <v>3290000</v>
      </c>
    </row>
    <row r="350" spans="1:3" x14ac:dyDescent="0.25">
      <c r="A350" s="299" t="s">
        <v>335</v>
      </c>
      <c r="B350" s="321"/>
      <c r="C350" s="326">
        <v>2130000</v>
      </c>
    </row>
    <row r="351" spans="1:3" x14ac:dyDescent="0.25">
      <c r="A351" s="299" t="s">
        <v>336</v>
      </c>
      <c r="B351" s="321"/>
      <c r="C351" s="326">
        <v>1480000</v>
      </c>
    </row>
    <row r="352" spans="1:3" x14ac:dyDescent="0.25">
      <c r="A352" s="299" t="s">
        <v>337</v>
      </c>
      <c r="B352" s="321"/>
      <c r="C352" s="326">
        <v>1190000</v>
      </c>
    </row>
    <row r="353" spans="1:3" x14ac:dyDescent="0.25">
      <c r="A353" s="299" t="s">
        <v>338</v>
      </c>
      <c r="B353" s="321"/>
      <c r="C353" s="326">
        <v>1130000</v>
      </c>
    </row>
    <row r="354" spans="1:3" x14ac:dyDescent="0.25">
      <c r="A354" s="299" t="s">
        <v>339</v>
      </c>
      <c r="B354" s="321"/>
      <c r="C354" s="326">
        <v>870000</v>
      </c>
    </row>
    <row r="355" spans="1:3" x14ac:dyDescent="0.25">
      <c r="A355" s="299" t="s">
        <v>340</v>
      </c>
      <c r="B355" s="321"/>
      <c r="C355" s="326">
        <v>830000</v>
      </c>
    </row>
    <row r="356" spans="1:3" x14ac:dyDescent="0.25">
      <c r="A356" s="299" t="s">
        <v>318</v>
      </c>
      <c r="B356" s="321"/>
      <c r="C356" s="326">
        <v>4820000</v>
      </c>
    </row>
    <row r="357" spans="1:3" x14ac:dyDescent="0.25">
      <c r="A357" s="300" t="s">
        <v>319</v>
      </c>
      <c r="B357" s="322"/>
      <c r="C357" s="327">
        <v>15610000</v>
      </c>
    </row>
    <row r="360" spans="1:3" x14ac:dyDescent="0.25">
      <c r="A360" s="5" t="s">
        <v>343</v>
      </c>
    </row>
    <row r="361" spans="1:3" x14ac:dyDescent="0.25">
      <c r="A361" s="292" t="s">
        <v>344</v>
      </c>
      <c r="B361" s="320"/>
      <c r="C361" s="325">
        <v>2510000</v>
      </c>
    </row>
    <row r="362" spans="1:3" x14ac:dyDescent="0.25">
      <c r="A362" s="299" t="s">
        <v>345</v>
      </c>
      <c r="B362" s="321"/>
      <c r="C362" s="326">
        <v>1890000</v>
      </c>
    </row>
    <row r="363" spans="1:3" x14ac:dyDescent="0.25">
      <c r="A363" s="299" t="s">
        <v>346</v>
      </c>
      <c r="B363" s="321"/>
      <c r="C363" s="326">
        <v>1690000</v>
      </c>
    </row>
    <row r="364" spans="1:3" x14ac:dyDescent="0.25">
      <c r="A364" s="299" t="s">
        <v>347</v>
      </c>
      <c r="B364" s="321"/>
      <c r="C364" s="326">
        <v>1340000</v>
      </c>
    </row>
    <row r="365" spans="1:3" x14ac:dyDescent="0.25">
      <c r="A365" s="299" t="s">
        <v>348</v>
      </c>
      <c r="B365" s="321"/>
      <c r="C365" s="326">
        <v>1280000</v>
      </c>
    </row>
    <row r="366" spans="1:3" x14ac:dyDescent="0.25">
      <c r="A366" s="299" t="s">
        <v>349</v>
      </c>
      <c r="B366" s="321"/>
      <c r="C366" s="326">
        <v>1220000</v>
      </c>
    </row>
    <row r="367" spans="1:3" x14ac:dyDescent="0.25">
      <c r="A367" s="299" t="s">
        <v>326</v>
      </c>
      <c r="B367" s="321"/>
      <c r="C367" s="326">
        <v>1000000</v>
      </c>
    </row>
    <row r="368" spans="1:3" x14ac:dyDescent="0.25">
      <c r="A368" s="299" t="s">
        <v>350</v>
      </c>
      <c r="B368" s="321"/>
      <c r="C368" s="326">
        <v>960000</v>
      </c>
    </row>
    <row r="369" spans="1:10" x14ac:dyDescent="0.25">
      <c r="A369" s="299" t="s">
        <v>351</v>
      </c>
      <c r="B369" s="321"/>
      <c r="C369" s="326">
        <v>860000</v>
      </c>
    </row>
    <row r="370" spans="1:10" x14ac:dyDescent="0.25">
      <c r="A370" s="299" t="s">
        <v>352</v>
      </c>
      <c r="B370" s="321"/>
      <c r="C370" s="326">
        <v>820000</v>
      </c>
    </row>
    <row r="371" spans="1:10" x14ac:dyDescent="0.25">
      <c r="A371" s="299" t="s">
        <v>318</v>
      </c>
      <c r="B371" s="321"/>
      <c r="C371" s="326">
        <v>5230000</v>
      </c>
    </row>
    <row r="372" spans="1:10" x14ac:dyDescent="0.25">
      <c r="A372" s="300" t="s">
        <v>319</v>
      </c>
      <c r="B372" s="322"/>
      <c r="C372" s="327">
        <v>16770000</v>
      </c>
    </row>
    <row r="378" spans="1:10" ht="15.75" thickBot="1" x14ac:dyDescent="0.3">
      <c r="A378" s="328"/>
      <c r="B378" s="328"/>
      <c r="C378" s="328"/>
      <c r="D378" s="328"/>
      <c r="E378" s="328"/>
      <c r="F378" s="328"/>
      <c r="G378" s="328"/>
      <c r="H378" s="328"/>
      <c r="I378" s="328"/>
      <c r="J378" s="328"/>
    </row>
    <row r="379" spans="1:10" ht="15.75" thickTop="1" x14ac:dyDescent="0.25"/>
    <row r="380" spans="1:10" x14ac:dyDescent="0.25">
      <c r="A380" s="319" t="s">
        <v>353</v>
      </c>
      <c r="C380" s="329"/>
      <c r="I380" s="269" t="s">
        <v>367</v>
      </c>
    </row>
    <row r="381" spans="1:10" x14ac:dyDescent="0.25">
      <c r="A381" s="329" t="s">
        <v>365</v>
      </c>
    </row>
    <row r="382" spans="1:10" x14ac:dyDescent="0.25">
      <c r="A382" s="292" t="s">
        <v>357</v>
      </c>
      <c r="B382" s="330" t="s">
        <v>358</v>
      </c>
      <c r="C382" s="330" t="s">
        <v>359</v>
      </c>
      <c r="D382" s="330" t="s">
        <v>360</v>
      </c>
      <c r="E382" s="330" t="s">
        <v>361</v>
      </c>
      <c r="F382" s="330" t="s">
        <v>362</v>
      </c>
      <c r="G382" s="330" t="s">
        <v>363</v>
      </c>
      <c r="H382" s="330" t="s">
        <v>364</v>
      </c>
      <c r="I382" s="331" t="s">
        <v>366</v>
      </c>
    </row>
    <row r="383" spans="1:10" x14ac:dyDescent="0.25">
      <c r="A383" s="294" t="s">
        <v>354</v>
      </c>
      <c r="B383" s="332">
        <v>30</v>
      </c>
      <c r="C383" s="332">
        <v>20</v>
      </c>
      <c r="D383" s="332">
        <v>15</v>
      </c>
      <c r="E383" s="332">
        <v>18</v>
      </c>
      <c r="F383" s="332">
        <v>25</v>
      </c>
      <c r="G383" s="332">
        <v>8</v>
      </c>
      <c r="H383" s="332">
        <v>6</v>
      </c>
      <c r="I383" s="333">
        <f>SUM(B383:H383)/COUNTA(B383:H383)</f>
        <v>17.428571428571427</v>
      </c>
    </row>
    <row r="384" spans="1:10" x14ac:dyDescent="0.25">
      <c r="A384" s="294" t="s">
        <v>355</v>
      </c>
      <c r="B384" s="334">
        <f>B383*B385</f>
        <v>330</v>
      </c>
      <c r="C384" s="334">
        <f t="shared" ref="C384:H384" si="14">C383*C385</f>
        <v>280</v>
      </c>
      <c r="D384" s="334">
        <f t="shared" si="14"/>
        <v>300</v>
      </c>
      <c r="E384" s="334">
        <f t="shared" si="14"/>
        <v>216</v>
      </c>
      <c r="F384" s="334">
        <f t="shared" si="14"/>
        <v>250</v>
      </c>
      <c r="G384" s="334">
        <f t="shared" si="14"/>
        <v>112</v>
      </c>
      <c r="H384" s="334">
        <f t="shared" si="14"/>
        <v>96</v>
      </c>
      <c r="I384" s="333">
        <f>SUM(B384:H384)/COUNTA(B384:H384)</f>
        <v>226.28571428571428</v>
      </c>
    </row>
    <row r="385" spans="1:9" x14ac:dyDescent="0.25">
      <c r="A385" s="294" t="s">
        <v>356</v>
      </c>
      <c r="B385" s="335">
        <v>11</v>
      </c>
      <c r="C385" s="335">
        <v>14</v>
      </c>
      <c r="D385" s="335">
        <v>20</v>
      </c>
      <c r="E385" s="335">
        <v>12</v>
      </c>
      <c r="F385" s="335">
        <v>10</v>
      </c>
      <c r="G385" s="335">
        <v>14</v>
      </c>
      <c r="H385" s="335">
        <v>16</v>
      </c>
      <c r="I385" s="333">
        <f>I384/I383</f>
        <v>12.983606557377049</v>
      </c>
    </row>
    <row r="386" spans="1:9" x14ac:dyDescent="0.25">
      <c r="A386" s="296"/>
      <c r="B386" s="291"/>
      <c r="C386" s="291"/>
      <c r="D386" s="291"/>
      <c r="E386" s="291"/>
      <c r="F386" s="291"/>
      <c r="G386" s="291"/>
      <c r="H386" s="291"/>
      <c r="I386" s="323"/>
    </row>
    <row r="392" spans="1:9" x14ac:dyDescent="0.25">
      <c r="A392" s="319" t="s">
        <v>368</v>
      </c>
      <c r="C392" s="329"/>
      <c r="I392" s="269" t="s">
        <v>372</v>
      </c>
    </row>
    <row r="393" spans="1:9" x14ac:dyDescent="0.25">
      <c r="A393" s="329" t="s">
        <v>370</v>
      </c>
    </row>
    <row r="394" spans="1:9" x14ac:dyDescent="0.25">
      <c r="A394" s="292" t="s">
        <v>357</v>
      </c>
      <c r="B394" s="330" t="s">
        <v>358</v>
      </c>
      <c r="C394" s="330" t="s">
        <v>359</v>
      </c>
      <c r="D394" s="330" t="s">
        <v>360</v>
      </c>
      <c r="E394" s="330" t="s">
        <v>361</v>
      </c>
      <c r="F394" s="330" t="s">
        <v>362</v>
      </c>
      <c r="G394" s="330" t="s">
        <v>363</v>
      </c>
      <c r="H394" s="330" t="s">
        <v>364</v>
      </c>
      <c r="I394" s="331" t="s">
        <v>366</v>
      </c>
    </row>
    <row r="395" spans="1:9" x14ac:dyDescent="0.25">
      <c r="A395" s="294" t="s">
        <v>354</v>
      </c>
      <c r="B395" s="332">
        <v>30</v>
      </c>
      <c r="C395" s="332">
        <v>20</v>
      </c>
      <c r="D395" s="332">
        <v>15</v>
      </c>
      <c r="E395" s="332">
        <v>18</v>
      </c>
      <c r="F395" s="332">
        <v>25</v>
      </c>
      <c r="G395" s="332">
        <v>8</v>
      </c>
      <c r="H395" s="332">
        <v>6</v>
      </c>
      <c r="I395" s="333">
        <f>SUM(B395:H395)/COUNTA(B395:H395)</f>
        <v>17.428571428571427</v>
      </c>
    </row>
    <row r="396" spans="1:9" x14ac:dyDescent="0.25">
      <c r="A396" s="294" t="s">
        <v>369</v>
      </c>
      <c r="B396" s="336">
        <v>5316819</v>
      </c>
      <c r="C396" s="336">
        <v>5028872.0000000009</v>
      </c>
      <c r="D396" s="336">
        <v>6718380</v>
      </c>
      <c r="E396" s="336">
        <v>6737412</v>
      </c>
      <c r="F396" s="336">
        <v>6191517</v>
      </c>
      <c r="G396" s="336">
        <v>5986291</v>
      </c>
      <c r="H396" s="336">
        <v>6020709</v>
      </c>
      <c r="I396" s="337">
        <f>SUM(B396:H396)/COUNTA(B396:H396)</f>
        <v>6000000</v>
      </c>
    </row>
    <row r="397" spans="1:9" x14ac:dyDescent="0.25">
      <c r="A397" s="294" t="s">
        <v>371</v>
      </c>
      <c r="B397" s="338">
        <f>B396/B395</f>
        <v>177227.3</v>
      </c>
      <c r="C397" s="338">
        <f t="shared" ref="C397:H397" si="15">C396/C395</f>
        <v>251443.60000000003</v>
      </c>
      <c r="D397" s="338">
        <f t="shared" si="15"/>
        <v>447892</v>
      </c>
      <c r="E397" s="338">
        <f t="shared" si="15"/>
        <v>374300.66666666669</v>
      </c>
      <c r="F397" s="338">
        <f t="shared" si="15"/>
        <v>247660.68</v>
      </c>
      <c r="G397" s="338">
        <f t="shared" si="15"/>
        <v>748286.375</v>
      </c>
      <c r="H397" s="338">
        <f t="shared" si="15"/>
        <v>1003451.5</v>
      </c>
      <c r="I397" s="337">
        <f>I396/I395</f>
        <v>344262.29508196726</v>
      </c>
    </row>
    <row r="398" spans="1:9" x14ac:dyDescent="0.25">
      <c r="A398" s="296"/>
      <c r="B398" s="291"/>
      <c r="C398" s="291"/>
      <c r="D398" s="291"/>
      <c r="E398" s="291"/>
      <c r="F398" s="291"/>
      <c r="G398" s="291"/>
      <c r="H398" s="291"/>
      <c r="I398" s="323"/>
    </row>
  </sheetData>
  <sortState ref="A259:B264">
    <sortCondition descending="1" ref="B259:B264"/>
  </sortState>
  <conditionalFormatting sqref="T32:T35">
    <cfRule type="expression" dxfId="5" priority="7">
      <formula>AND($T32="",LEFT($S32,3)="oui")</formula>
    </cfRule>
  </conditionalFormatting>
  <conditionalFormatting sqref="U32:U35">
    <cfRule type="expression" dxfId="4" priority="2">
      <formula>$S32="NON - reporté"</formula>
    </cfRule>
    <cfRule type="expression" dxfId="3" priority="3">
      <formula>$S32="OUI - à la date :"</formula>
    </cfRule>
    <cfRule type="expression" dxfId="2" priority="4">
      <formula>$S32="OUI - prévu le :"</formula>
    </cfRule>
    <cfRule type="expression" dxfId="1" priority="5">
      <formula>$S32="NON - à programmer"</formula>
    </cfRule>
  </conditionalFormatting>
  <conditionalFormatting sqref="W46:W60">
    <cfRule type="expression" dxfId="0" priority="1">
      <formula>$W46=""</formula>
    </cfRule>
  </conditionalFormatting>
  <dataValidations disablePrompts="1" count="1">
    <dataValidation type="list" allowBlank="1" showInputMessage="1" showErrorMessage="1" sqref="S32:S35">
      <formula1>"OUI - à la date :,OUI - prévu le :,NON - à programmer,NON - reporté"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/>
  <dimension ref="A1:Z34"/>
  <sheetViews>
    <sheetView zoomScale="85" zoomScaleNormal="85" workbookViewId="0">
      <pane xSplit="4" ySplit="1" topLeftCell="E56" activePane="bottomRight" state="frozen"/>
      <selection activeCell="D1" sqref="D1"/>
      <selection pane="topRight" activeCell="E1" sqref="E1"/>
      <selection pane="bottomLeft" activeCell="D2" sqref="D2"/>
      <selection pane="bottomRight" activeCell="O33" sqref="O33"/>
    </sheetView>
  </sheetViews>
  <sheetFormatPr baseColWidth="10" defaultRowHeight="15" outlineLevelCol="1" x14ac:dyDescent="0.25"/>
  <cols>
    <col min="1" max="2" width="11.42578125" hidden="1" customWidth="1" outlineLevel="1"/>
    <col min="3" max="3" width="13" hidden="1" customWidth="1" outlineLevel="1"/>
    <col min="4" max="4" width="53.7109375" customWidth="1" collapsed="1"/>
    <col min="5" max="5" width="12.42578125" bestFit="1" customWidth="1"/>
    <col min="6" max="7" width="17.140625" bestFit="1" customWidth="1"/>
    <col min="8" max="8" width="16.7109375" bestFit="1" customWidth="1"/>
    <col min="9" max="10" width="16.28515625" bestFit="1" customWidth="1"/>
    <col min="11" max="13" width="16.7109375" bestFit="1" customWidth="1"/>
    <col min="14" max="14" width="17.140625" bestFit="1" customWidth="1"/>
    <col min="15" max="15" width="17.140625" customWidth="1"/>
    <col min="16" max="16" width="17.140625" bestFit="1" customWidth="1"/>
    <col min="17" max="17" width="16.28515625" bestFit="1" customWidth="1"/>
    <col min="18" max="18" width="18" bestFit="1" customWidth="1"/>
    <col min="19" max="19" width="15.7109375" bestFit="1" customWidth="1" outlineLevel="1"/>
    <col min="20" max="20" width="16" bestFit="1" customWidth="1" outlineLevel="1"/>
    <col min="21" max="22" width="16.85546875" bestFit="1" customWidth="1" outlineLevel="1"/>
    <col min="23" max="23" width="16" bestFit="1" customWidth="1" outlineLevel="1"/>
    <col min="24" max="24" width="16.85546875" bestFit="1" customWidth="1" outlineLevel="1"/>
    <col min="25" max="25" width="18.42578125" customWidth="1"/>
    <col min="26" max="26" width="15.28515625" bestFit="1" customWidth="1"/>
  </cols>
  <sheetData>
    <row r="1" spans="1:26" ht="30" customHeight="1" thickBot="1" x14ac:dyDescent="0.3">
      <c r="A1" s="13"/>
      <c r="B1" s="13"/>
      <c r="C1" s="11" t="s">
        <v>12</v>
      </c>
      <c r="D1" s="18" t="s">
        <v>9</v>
      </c>
      <c r="E1" s="18" t="str">
        <f>"Report "&amp;MEMO!B6-1</f>
        <v>Report 2016</v>
      </c>
      <c r="F1" s="20" t="s">
        <v>59</v>
      </c>
      <c r="G1" s="20" t="s">
        <v>60</v>
      </c>
      <c r="H1" s="20" t="s">
        <v>61</v>
      </c>
      <c r="I1" s="20" t="s">
        <v>62</v>
      </c>
      <c r="J1" s="20" t="s">
        <v>63</v>
      </c>
      <c r="K1" s="20" t="s">
        <v>64</v>
      </c>
      <c r="L1" s="20" t="s">
        <v>65</v>
      </c>
      <c r="M1" s="20" t="s">
        <v>66</v>
      </c>
      <c r="N1" s="20" t="s">
        <v>67</v>
      </c>
      <c r="O1" s="20" t="s">
        <v>68</v>
      </c>
      <c r="P1" s="20" t="s">
        <v>69</v>
      </c>
      <c r="Q1" s="20" t="s">
        <v>70</v>
      </c>
      <c r="R1" s="134" t="s">
        <v>72</v>
      </c>
      <c r="S1" s="20" t="str">
        <f>"T1-"&amp;MEMO!$B$6</f>
        <v>T1-2017</v>
      </c>
      <c r="T1" s="20" t="str">
        <f>"T2-"&amp;MEMO!$B$6</f>
        <v>T2-2017</v>
      </c>
      <c r="U1" s="20" t="str">
        <f>"T3-"&amp;MEMO!$B$6</f>
        <v>T3-2017</v>
      </c>
      <c r="V1" s="20" t="str">
        <f>"T4-"&amp;MEMO!$B$6</f>
        <v>T4-2017</v>
      </c>
      <c r="W1" s="20" t="str">
        <f>"S1-"&amp;MEMO!$B$6</f>
        <v>S1-2017</v>
      </c>
      <c r="X1" s="20" t="str">
        <f>"S1-"&amp;MEMO!$B$6</f>
        <v>S1-2017</v>
      </c>
      <c r="Y1" s="20" t="s">
        <v>72</v>
      </c>
      <c r="Z1" t="str">
        <f>"TOTAL+"&amp;E1</f>
        <v>TOTAL+Report 2016</v>
      </c>
    </row>
    <row r="2" spans="1:26" ht="9" customHeight="1" thickBot="1" x14ac:dyDescent="0.3">
      <c r="A2" s="13"/>
      <c r="B2" s="13"/>
      <c r="C2" s="11"/>
      <c r="D2" s="102"/>
      <c r="E2" s="126"/>
      <c r="F2" s="103"/>
      <c r="G2" s="103"/>
      <c r="H2" s="103" t="str">
        <f>S1</f>
        <v>T1-2017</v>
      </c>
      <c r="I2" s="103"/>
      <c r="J2" s="103"/>
      <c r="K2" s="103" t="str">
        <f>T1</f>
        <v>T2-2017</v>
      </c>
      <c r="L2" s="103"/>
      <c r="M2" s="103"/>
      <c r="N2" s="103" t="str">
        <f>U1</f>
        <v>T3-2017</v>
      </c>
      <c r="O2" s="103"/>
      <c r="P2" s="103"/>
      <c r="Q2" s="103" t="str">
        <f>V1</f>
        <v>T4-2017</v>
      </c>
      <c r="R2" s="103"/>
      <c r="S2" s="103" t="str">
        <f>S1</f>
        <v>T1-2017</v>
      </c>
      <c r="T2" s="103" t="str">
        <f t="shared" ref="T2:V2" si="0">T1</f>
        <v>T2-2017</v>
      </c>
      <c r="U2" s="103" t="str">
        <f t="shared" si="0"/>
        <v>T3-2017</v>
      </c>
      <c r="V2" s="103" t="str">
        <f t="shared" si="0"/>
        <v>T4-2017</v>
      </c>
      <c r="W2" s="103"/>
      <c r="X2" s="103"/>
      <c r="Y2" s="103"/>
    </row>
    <row r="3" spans="1:26" ht="19.5" thickBot="1" x14ac:dyDescent="0.3">
      <c r="A3" s="13"/>
      <c r="B3" s="13"/>
      <c r="C3" s="11"/>
      <c r="D3" s="89" t="s">
        <v>81</v>
      </c>
      <c r="E3" s="127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</row>
    <row r="4" spans="1:26" ht="15.75" thickBot="1" x14ac:dyDescent="0.3">
      <c r="A4" s="10" t="s">
        <v>5</v>
      </c>
      <c r="B4" s="10" t="s">
        <v>7</v>
      </c>
      <c r="C4" s="11">
        <v>1.7</v>
      </c>
      <c r="D4" s="28" t="s">
        <v>73</v>
      </c>
      <c r="E4" s="83">
        <f>MEMO!B9</f>
        <v>500000</v>
      </c>
      <c r="F4" s="82">
        <v>540958.00000000116</v>
      </c>
      <c r="G4" s="82">
        <v>115388</v>
      </c>
      <c r="H4" s="82">
        <v>186167</v>
      </c>
      <c r="I4" s="82">
        <v>367710</v>
      </c>
      <c r="J4" s="82">
        <v>236956</v>
      </c>
      <c r="K4" s="82">
        <v>637989</v>
      </c>
      <c r="L4" s="82">
        <v>584005</v>
      </c>
      <c r="M4" s="82">
        <v>77490</v>
      </c>
      <c r="N4" s="82">
        <v>875299</v>
      </c>
      <c r="O4" s="82">
        <v>130324</v>
      </c>
      <c r="P4" s="82">
        <v>973079</v>
      </c>
      <c r="Q4" s="82">
        <v>274635</v>
      </c>
      <c r="R4" s="82"/>
      <c r="S4" s="84">
        <f>SUM(F4:H4)</f>
        <v>842513.00000000116</v>
      </c>
      <c r="T4" s="84">
        <f>SUM(I4:K4)</f>
        <v>1242655</v>
      </c>
      <c r="U4" s="84">
        <f>SUM(L4:N4)</f>
        <v>1536794</v>
      </c>
      <c r="V4" s="84">
        <f>SUM(O4:Q4)</f>
        <v>1378038</v>
      </c>
      <c r="W4" s="84">
        <f>SUM(F4:K4)</f>
        <v>2085168.0000000012</v>
      </c>
      <c r="X4" s="84">
        <f>SUM(L4:Q4)</f>
        <v>2914832</v>
      </c>
      <c r="Y4" s="86">
        <f>SUM(F4:Q4)</f>
        <v>5000000.0000000009</v>
      </c>
      <c r="Z4" s="2"/>
    </row>
    <row r="5" spans="1:26" ht="15.75" thickBot="1" x14ac:dyDescent="0.3">
      <c r="A5" s="10"/>
      <c r="B5" s="10"/>
      <c r="C5" s="11"/>
      <c r="D5" s="81" t="str">
        <f>D4&amp; " (cumulés)"</f>
        <v>Montant gains achat année N (cumulés)</v>
      </c>
      <c r="E5" s="83"/>
      <c r="F5" s="83">
        <f>F4</f>
        <v>540958.00000000116</v>
      </c>
      <c r="G5" s="83">
        <f>F5+G4</f>
        <v>656346.00000000116</v>
      </c>
      <c r="H5" s="83">
        <f t="shared" ref="H5:Q5" si="1">G5+H4</f>
        <v>842513.00000000116</v>
      </c>
      <c r="I5" s="83">
        <f t="shared" si="1"/>
        <v>1210223.0000000012</v>
      </c>
      <c r="J5" s="83">
        <f t="shared" si="1"/>
        <v>1447179.0000000012</v>
      </c>
      <c r="K5" s="83">
        <f t="shared" si="1"/>
        <v>2085168.0000000012</v>
      </c>
      <c r="L5" s="83">
        <f t="shared" si="1"/>
        <v>2669173.0000000009</v>
      </c>
      <c r="M5" s="83">
        <f t="shared" si="1"/>
        <v>2746663.0000000009</v>
      </c>
      <c r="N5" s="83">
        <f t="shared" si="1"/>
        <v>3621962.0000000009</v>
      </c>
      <c r="O5" s="83">
        <f t="shared" si="1"/>
        <v>3752286.0000000009</v>
      </c>
      <c r="P5" s="83">
        <f t="shared" si="1"/>
        <v>4725365.0000000009</v>
      </c>
      <c r="Q5" s="83">
        <f t="shared" si="1"/>
        <v>5000000.0000000009</v>
      </c>
      <c r="R5" s="136"/>
      <c r="S5" s="83">
        <f>S4</f>
        <v>842513.00000000116</v>
      </c>
      <c r="T5" s="83">
        <f>S5+T4</f>
        <v>2085168.0000000012</v>
      </c>
      <c r="U5" s="83">
        <f t="shared" ref="U5:V5" si="2">T5+U4</f>
        <v>3621962.0000000009</v>
      </c>
      <c r="V5" s="83">
        <f t="shared" si="2"/>
        <v>5000000.0000000009</v>
      </c>
      <c r="W5" s="83">
        <f>W4</f>
        <v>2085168.0000000012</v>
      </c>
      <c r="X5" s="129">
        <f>W5+X4</f>
        <v>5000000.0000000009</v>
      </c>
      <c r="Y5" s="95">
        <f>Y4</f>
        <v>5000000.0000000009</v>
      </c>
    </row>
    <row r="6" spans="1:26" ht="18" customHeight="1" thickBot="1" x14ac:dyDescent="0.3">
      <c r="A6" s="10"/>
      <c r="B6" s="10"/>
      <c r="C6" s="11"/>
      <c r="D6" s="81" t="s">
        <v>116</v>
      </c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29"/>
      <c r="R6" s="137">
        <f>Y4+MEMO!B9</f>
        <v>5500000.0000000009</v>
      </c>
      <c r="S6" s="135"/>
      <c r="T6" s="84"/>
      <c r="U6" s="84"/>
      <c r="V6" s="84"/>
      <c r="W6" s="84"/>
      <c r="X6" s="84"/>
      <c r="Y6" s="86"/>
      <c r="Z6" s="2">
        <f>Y4+MEMO!B9</f>
        <v>5500000.0000000009</v>
      </c>
    </row>
    <row r="7" spans="1:26" ht="18" customHeight="1" x14ac:dyDescent="0.25">
      <c r="A7" s="10"/>
      <c r="B7" s="10"/>
      <c r="C7" s="11"/>
      <c r="D7" s="81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4"/>
      <c r="S7" s="84"/>
      <c r="T7" s="84"/>
      <c r="U7" s="84"/>
      <c r="V7" s="84"/>
      <c r="W7" s="84"/>
      <c r="X7" s="84"/>
      <c r="Y7" s="86"/>
      <c r="Z7" s="2"/>
    </row>
    <row r="8" spans="1:26" x14ac:dyDescent="0.25">
      <c r="A8" s="10" t="s">
        <v>5</v>
      </c>
      <c r="B8" s="10" t="s">
        <v>7</v>
      </c>
      <c r="C8" s="11">
        <v>7</v>
      </c>
      <c r="D8" s="28" t="s">
        <v>76</v>
      </c>
      <c r="E8" s="56"/>
      <c r="F8" s="56">
        <v>0.12</v>
      </c>
      <c r="G8" s="56">
        <v>0.09</v>
      </c>
      <c r="H8" s="56">
        <v>0.11</v>
      </c>
      <c r="I8" s="56">
        <v>0.11</v>
      </c>
      <c r="J8" s="56">
        <v>0.08</v>
      </c>
      <c r="K8" s="56">
        <v>0.13</v>
      </c>
      <c r="L8" s="56">
        <v>0.14000000000000001</v>
      </c>
      <c r="M8" s="56">
        <v>0.14000000000000001</v>
      </c>
      <c r="N8" s="56">
        <v>0.13</v>
      </c>
      <c r="O8" s="56">
        <v>0.13</v>
      </c>
      <c r="P8" s="56">
        <v>0.09</v>
      </c>
      <c r="Q8" s="56">
        <v>0.14000000000000001</v>
      </c>
      <c r="R8" s="56"/>
      <c r="S8" s="42"/>
      <c r="T8" s="42"/>
      <c r="U8" s="42"/>
      <c r="V8" s="42"/>
      <c r="W8" s="42"/>
      <c r="X8" s="42"/>
      <c r="Y8" s="93"/>
    </row>
    <row r="9" spans="1:26" x14ac:dyDescent="0.25">
      <c r="D9" s="81" t="s">
        <v>77</v>
      </c>
      <c r="E9" s="94"/>
      <c r="F9" s="94">
        <f>MEMO!$B$14</f>
        <v>0.1</v>
      </c>
      <c r="G9" s="94">
        <f>MEMO!$B$14</f>
        <v>0.1</v>
      </c>
      <c r="H9" s="94">
        <f>MEMO!$B$14</f>
        <v>0.1</v>
      </c>
      <c r="I9" s="94">
        <f>MEMO!$B$14</f>
        <v>0.1</v>
      </c>
      <c r="J9" s="94">
        <f>MEMO!$B$14</f>
        <v>0.1</v>
      </c>
      <c r="K9" s="94">
        <f>MEMO!$B$14</f>
        <v>0.1</v>
      </c>
      <c r="L9" s="94">
        <f>MEMO!$B$14</f>
        <v>0.1</v>
      </c>
      <c r="M9" s="94">
        <f>MEMO!$B$14</f>
        <v>0.1</v>
      </c>
      <c r="N9" s="94">
        <f>MEMO!$B$14</f>
        <v>0.1</v>
      </c>
      <c r="O9" s="94">
        <f>MEMO!$B$14</f>
        <v>0.1</v>
      </c>
      <c r="P9" s="94">
        <f>MEMO!$B$14</f>
        <v>0.1</v>
      </c>
      <c r="Q9" s="94">
        <f>MEMO!$B$14</f>
        <v>0.1</v>
      </c>
      <c r="R9" s="94"/>
      <c r="S9" s="42"/>
      <c r="T9" s="42"/>
      <c r="U9" s="42"/>
      <c r="V9" s="42"/>
      <c r="W9" s="42"/>
      <c r="X9" s="42"/>
      <c r="Y9" s="93"/>
    </row>
    <row r="10" spans="1:26" ht="15.75" thickBot="1" x14ac:dyDescent="0.3">
      <c r="A10" s="10"/>
      <c r="B10" s="10"/>
      <c r="C10" s="11"/>
      <c r="D10" s="90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42"/>
      <c r="T10" s="42"/>
      <c r="U10" s="42"/>
      <c r="V10" s="42"/>
      <c r="W10" s="42"/>
      <c r="X10" s="42"/>
      <c r="Y10" s="93"/>
    </row>
    <row r="11" spans="1:26" ht="18" customHeight="1" thickBot="1" x14ac:dyDescent="0.3">
      <c r="A11" s="10"/>
      <c r="B11" s="10"/>
      <c r="C11" s="11"/>
      <c r="D11" s="89" t="s">
        <v>82</v>
      </c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4"/>
      <c r="S11" s="84"/>
      <c r="T11" s="84"/>
      <c r="U11" s="84"/>
      <c r="V11" s="84"/>
      <c r="W11" s="84"/>
      <c r="X11" s="87"/>
      <c r="Y11" s="93"/>
    </row>
    <row r="12" spans="1:26" ht="18" customHeight="1" x14ac:dyDescent="0.25">
      <c r="A12" s="10"/>
      <c r="B12" s="10"/>
      <c r="C12" s="11"/>
      <c r="D12" s="28" t="s">
        <v>1</v>
      </c>
      <c r="E12" s="27"/>
      <c r="F12" s="27">
        <v>12737458</v>
      </c>
      <c r="G12" s="27">
        <v>12141053</v>
      </c>
      <c r="H12" s="27">
        <v>9167321</v>
      </c>
      <c r="I12" s="27">
        <v>8952682</v>
      </c>
      <c r="J12" s="27">
        <v>10944470</v>
      </c>
      <c r="K12" s="27">
        <v>9779270</v>
      </c>
      <c r="L12" s="27">
        <v>11621999</v>
      </c>
      <c r="M12" s="27">
        <v>10309646</v>
      </c>
      <c r="N12" s="27">
        <v>12639503.000000013</v>
      </c>
      <c r="O12" s="27">
        <v>8790356</v>
      </c>
      <c r="P12" s="27">
        <v>11523625</v>
      </c>
      <c r="Q12" s="27">
        <v>11392617</v>
      </c>
      <c r="R12" s="82"/>
      <c r="S12" s="84">
        <f>SUM(F12:H12)</f>
        <v>34045832</v>
      </c>
      <c r="T12" s="84">
        <f>SUM(I12:K12)</f>
        <v>29676422</v>
      </c>
      <c r="U12" s="84">
        <f>SUM(L12:N12)</f>
        <v>34571148.000000015</v>
      </c>
      <c r="V12" s="84">
        <f>SUM(O12:Q12)</f>
        <v>31706598</v>
      </c>
      <c r="W12" s="84">
        <f>SUM(F12:K12)</f>
        <v>63722254</v>
      </c>
      <c r="X12" s="84">
        <f>SUM(L12:Q12)</f>
        <v>66277746.000000015</v>
      </c>
      <c r="Y12" s="85">
        <f>SUM(F12:Q12)</f>
        <v>130000000.00000001</v>
      </c>
    </row>
    <row r="13" spans="1:26" ht="18" customHeight="1" x14ac:dyDescent="0.25">
      <c r="A13" s="10"/>
      <c r="B13" s="10"/>
      <c r="C13" s="11"/>
      <c r="D13" s="28" t="s">
        <v>2</v>
      </c>
      <c r="E13" s="27"/>
      <c r="F13" s="27">
        <v>10231644</v>
      </c>
      <c r="G13" s="27">
        <v>9665873</v>
      </c>
      <c r="H13" s="27">
        <v>6670311</v>
      </c>
      <c r="I13" s="27">
        <v>6432573</v>
      </c>
      <c r="J13" s="27">
        <v>8476197</v>
      </c>
      <c r="K13" s="27">
        <v>7296665.9999999851</v>
      </c>
      <c r="L13" s="27">
        <v>9144568</v>
      </c>
      <c r="M13" s="27">
        <v>7786753</v>
      </c>
      <c r="N13" s="27">
        <v>10122986.000000013</v>
      </c>
      <c r="O13" s="27">
        <v>6321348</v>
      </c>
      <c r="P13" s="27">
        <v>8990761</v>
      </c>
      <c r="Q13" s="27">
        <v>8860320</v>
      </c>
      <c r="R13" s="82"/>
      <c r="S13" s="84">
        <f>SUM(F13:H13)</f>
        <v>26567828</v>
      </c>
      <c r="T13" s="84">
        <f>SUM(I13:K13)</f>
        <v>22205435.999999985</v>
      </c>
      <c r="U13" s="84">
        <f>SUM(L13:N13)</f>
        <v>27054307.000000015</v>
      </c>
      <c r="V13" s="84">
        <f>SUM(O13:Q13)</f>
        <v>24172429</v>
      </c>
      <c r="W13" s="84">
        <f>SUM(F13:K13)</f>
        <v>48773263.999999985</v>
      </c>
      <c r="X13" s="84">
        <f>SUM(L13:Q13)</f>
        <v>51226736.000000015</v>
      </c>
      <c r="Y13" s="85">
        <f>SUM(F13:Q13)</f>
        <v>100000000</v>
      </c>
    </row>
    <row r="14" spans="1:26" x14ac:dyDescent="0.25">
      <c r="A14" s="13"/>
      <c r="B14" s="13"/>
      <c r="C14" s="13"/>
      <c r="D14" s="81" t="s">
        <v>110</v>
      </c>
      <c r="E14" s="63"/>
      <c r="F14" s="63">
        <f>SUM($F$4:F$4)/SUM($F12:F12)</f>
        <v>4.2469855445254549E-2</v>
      </c>
      <c r="G14" s="63">
        <f>SUM($F$4:G$4)/SUM($F12:G12)</f>
        <v>2.6382045131238006E-2</v>
      </c>
      <c r="H14" s="63">
        <f>SUM($F$4:H$4)/SUM($F12:H12)</f>
        <v>2.4746435922024204E-2</v>
      </c>
      <c r="I14" s="63">
        <f>SUM($F$4:I$4)/SUM($F12:I12)</f>
        <v>2.8145693593039079E-2</v>
      </c>
      <c r="J14" s="63">
        <f>SUM($F$4:J$4)/SUM($F12:J12)</f>
        <v>2.6827937438536977E-2</v>
      </c>
      <c r="K14" s="63">
        <f>SUM($F$4:K$4)/SUM($F12:K12)</f>
        <v>3.2722759618641253E-2</v>
      </c>
      <c r="L14" s="63">
        <f>SUM($F$4:L$4)/SUM($F12:L12)</f>
        <v>3.5426364901381409E-2</v>
      </c>
      <c r="M14" s="63">
        <f>SUM($F$4:M$4)/SUM($F12:M12)</f>
        <v>3.2066993237517431E-2</v>
      </c>
      <c r="N14" s="63">
        <f>SUM($F$4:N$4)/SUM($F12:N12)</f>
        <v>3.68484753432382E-2</v>
      </c>
      <c r="O14" s="63">
        <f>SUM($F$4:O$4)/SUM($F12:O12)</f>
        <v>3.5040664150019843E-2</v>
      </c>
      <c r="P14" s="63">
        <f>SUM($F$4:P$4)/SUM($F12:P12)</f>
        <v>3.9840395095809514E-2</v>
      </c>
      <c r="Q14" s="63">
        <f>SUM($F$4:Q$4)/SUM($F12:Q12)</f>
        <v>3.8461538461538464E-2</v>
      </c>
      <c r="R14" s="63"/>
      <c r="S14" s="63">
        <f>HLOOKUP(S$1,$D$2:$Q$42,ROW(D14)-1,0)</f>
        <v>2.4746435922024204E-2</v>
      </c>
      <c r="T14" s="63">
        <f t="shared" ref="T14:V15" si="3">HLOOKUP(T$1,$D$2:$Q$42,ROW(F14)-1,0)</f>
        <v>3.2722759618641253E-2</v>
      </c>
      <c r="U14" s="63">
        <f t="shared" si="3"/>
        <v>3.68484753432382E-2</v>
      </c>
      <c r="V14" s="63">
        <f t="shared" si="3"/>
        <v>3.8461538461538464E-2</v>
      </c>
      <c r="W14" s="63">
        <f t="shared" ref="W14:W15" si="4">T14</f>
        <v>3.2722759618641253E-2</v>
      </c>
      <c r="X14" s="63">
        <f t="shared" ref="X14:X15" si="5">V14</f>
        <v>3.8461538461538464E-2</v>
      </c>
      <c r="Y14" s="85"/>
    </row>
    <row r="15" spans="1:26" ht="15.75" thickBot="1" x14ac:dyDescent="0.3">
      <c r="A15" s="13"/>
      <c r="B15" s="13"/>
      <c r="C15" s="13"/>
      <c r="D15" s="81" t="s">
        <v>111</v>
      </c>
      <c r="E15" s="63"/>
      <c r="F15" s="63">
        <f>SUM($F$4:F$4)/SUM($F13:F13)</f>
        <v>5.2871073309431131E-2</v>
      </c>
      <c r="G15" s="63">
        <f>SUM($F$4:G$4)/SUM($F13:G13)</f>
        <v>3.2986326886917661E-2</v>
      </c>
      <c r="H15" s="63">
        <f>SUM($F$4:H$4)/SUM($F13:H13)</f>
        <v>3.1711775610712367E-2</v>
      </c>
      <c r="I15" s="63">
        <f>SUM($F$4:I$4)/SUM($F13:I13)</f>
        <v>3.6672978610169042E-2</v>
      </c>
      <c r="J15" s="63">
        <f>SUM($F$4:J$4)/SUM($F13:J13)</f>
        <v>3.4891458552121397E-2</v>
      </c>
      <c r="K15" s="63">
        <f>SUM($F$4:K$4)/SUM($F13:K13)</f>
        <v>4.2752275098914883E-2</v>
      </c>
      <c r="L15" s="63">
        <f>SUM($F$4:L$4)/SUM($F13:L13)</f>
        <v>4.6085513007462046E-2</v>
      </c>
      <c r="M15" s="63">
        <f>SUM($F$4:M$4)/SUM($F13:M13)</f>
        <v>4.1803216624836784E-2</v>
      </c>
      <c r="N15" s="63">
        <f>SUM($F$4:N$4)/SUM($F13:N13)</f>
        <v>4.7765765832061283E-2</v>
      </c>
      <c r="O15" s="63">
        <f>SUM($F$4:O$4)/SUM($F13:O13)</f>
        <v>4.5676632701642746E-2</v>
      </c>
      <c r="P15" s="63">
        <f>SUM($F$4:P$4)/SUM($F13:P13)</f>
        <v>5.1847504840921113E-2</v>
      </c>
      <c r="Q15" s="63">
        <f>SUM($F$4:Q$4)/SUM($F13:Q13)</f>
        <v>5.000000000000001E-2</v>
      </c>
      <c r="R15" s="63"/>
      <c r="S15" s="63">
        <f>HLOOKUP(S$1,$D$2:$Q$42,ROW(D15)-1,0)</f>
        <v>3.1711775610712367E-2</v>
      </c>
      <c r="T15" s="63">
        <f t="shared" si="3"/>
        <v>4.2752275098914883E-2</v>
      </c>
      <c r="U15" s="63">
        <f t="shared" si="3"/>
        <v>4.7765765832061283E-2</v>
      </c>
      <c r="V15" s="63">
        <f t="shared" si="3"/>
        <v>5.000000000000001E-2</v>
      </c>
      <c r="W15" s="63">
        <f t="shared" si="4"/>
        <v>4.2752275098914883E-2</v>
      </c>
      <c r="X15" s="63">
        <f t="shared" si="5"/>
        <v>5.000000000000001E-2</v>
      </c>
      <c r="Y15" s="86"/>
    </row>
    <row r="16" spans="1:26" x14ac:dyDescent="0.25">
      <c r="D16" s="81" t="s">
        <v>113</v>
      </c>
      <c r="E16" s="63"/>
      <c r="F16" s="63">
        <f t="shared" ref="F16:Q16" si="6">ObjTx_PeriTraitable</f>
        <v>2.6700000000000002E-2</v>
      </c>
      <c r="G16" s="63">
        <f t="shared" si="6"/>
        <v>2.6700000000000002E-2</v>
      </c>
      <c r="H16" s="63">
        <f t="shared" si="6"/>
        <v>2.6700000000000002E-2</v>
      </c>
      <c r="I16" s="63">
        <f t="shared" si="6"/>
        <v>2.6700000000000002E-2</v>
      </c>
      <c r="J16" s="63">
        <f t="shared" si="6"/>
        <v>2.6700000000000002E-2</v>
      </c>
      <c r="K16" s="63">
        <f t="shared" si="6"/>
        <v>2.6700000000000002E-2</v>
      </c>
      <c r="L16" s="63">
        <f t="shared" si="6"/>
        <v>2.6700000000000002E-2</v>
      </c>
      <c r="M16" s="63">
        <f t="shared" si="6"/>
        <v>2.6700000000000002E-2</v>
      </c>
      <c r="N16" s="63">
        <f t="shared" si="6"/>
        <v>2.6700000000000002E-2</v>
      </c>
      <c r="O16" s="63">
        <f t="shared" si="6"/>
        <v>2.6700000000000002E-2</v>
      </c>
      <c r="P16" s="63">
        <f t="shared" si="6"/>
        <v>2.6700000000000002E-2</v>
      </c>
      <c r="Q16" s="63">
        <f t="shared" si="6"/>
        <v>2.6700000000000002E-2</v>
      </c>
      <c r="R16" s="63"/>
      <c r="S16" s="63">
        <f t="shared" ref="S16:Y16" si="7">ObjTx_PeriTraitable</f>
        <v>2.6700000000000002E-2</v>
      </c>
      <c r="T16" s="63">
        <f t="shared" si="7"/>
        <v>2.6700000000000002E-2</v>
      </c>
      <c r="U16" s="63">
        <f t="shared" si="7"/>
        <v>2.6700000000000002E-2</v>
      </c>
      <c r="V16" s="63">
        <f t="shared" si="7"/>
        <v>2.6700000000000002E-2</v>
      </c>
      <c r="W16" s="63">
        <f t="shared" si="7"/>
        <v>2.6700000000000002E-2</v>
      </c>
      <c r="X16" s="128">
        <f t="shared" si="7"/>
        <v>2.6700000000000002E-2</v>
      </c>
      <c r="Y16" s="132">
        <f t="shared" si="7"/>
        <v>2.6700000000000002E-2</v>
      </c>
      <c r="Z16" s="2"/>
    </row>
    <row r="17" spans="1:26" ht="15.75" thickBot="1" x14ac:dyDescent="0.3">
      <c r="D17" s="81" t="s">
        <v>114</v>
      </c>
      <c r="E17" s="63"/>
      <c r="F17" s="63">
        <f t="shared" ref="F17:Q17" si="8">ObjTx_PeriTraite</f>
        <v>0.06</v>
      </c>
      <c r="G17" s="63">
        <f t="shared" si="8"/>
        <v>0.06</v>
      </c>
      <c r="H17" s="63">
        <f t="shared" si="8"/>
        <v>0.06</v>
      </c>
      <c r="I17" s="63">
        <f t="shared" si="8"/>
        <v>0.06</v>
      </c>
      <c r="J17" s="63">
        <f t="shared" si="8"/>
        <v>0.06</v>
      </c>
      <c r="K17" s="63">
        <f t="shared" si="8"/>
        <v>0.06</v>
      </c>
      <c r="L17" s="63">
        <f t="shared" si="8"/>
        <v>0.06</v>
      </c>
      <c r="M17" s="63">
        <f t="shared" si="8"/>
        <v>0.06</v>
      </c>
      <c r="N17" s="63">
        <f t="shared" si="8"/>
        <v>0.06</v>
      </c>
      <c r="O17" s="63">
        <f t="shared" si="8"/>
        <v>0.06</v>
      </c>
      <c r="P17" s="63">
        <f t="shared" si="8"/>
        <v>0.06</v>
      </c>
      <c r="Q17" s="63">
        <f t="shared" si="8"/>
        <v>0.06</v>
      </c>
      <c r="R17" s="63"/>
      <c r="S17" s="63">
        <f t="shared" ref="S17:Y17" si="9">ObjTx_PeriTraite</f>
        <v>0.06</v>
      </c>
      <c r="T17" s="63">
        <f t="shared" si="9"/>
        <v>0.06</v>
      </c>
      <c r="U17" s="63">
        <f t="shared" si="9"/>
        <v>0.06</v>
      </c>
      <c r="V17" s="63">
        <f t="shared" si="9"/>
        <v>0.06</v>
      </c>
      <c r="W17" s="63">
        <f t="shared" si="9"/>
        <v>0.06</v>
      </c>
      <c r="X17" s="128">
        <f t="shared" si="9"/>
        <v>0.06</v>
      </c>
      <c r="Y17" s="133">
        <f t="shared" si="9"/>
        <v>0.06</v>
      </c>
      <c r="Z17" s="2"/>
    </row>
    <row r="18" spans="1:26" ht="18" customHeight="1" thickBot="1" x14ac:dyDescent="0.3">
      <c r="A18" s="10"/>
      <c r="B18" s="10"/>
      <c r="C18" s="11"/>
      <c r="D18" s="28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82"/>
      <c r="S18" s="84"/>
      <c r="T18" s="84"/>
      <c r="U18" s="84"/>
      <c r="V18" s="84"/>
      <c r="W18" s="84"/>
      <c r="X18" s="87"/>
      <c r="Y18" s="85"/>
    </row>
    <row r="19" spans="1:26" ht="19.5" thickBot="1" x14ac:dyDescent="0.3">
      <c r="D19" s="89" t="s">
        <v>8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6" x14ac:dyDescent="0.25">
      <c r="A20" s="10"/>
      <c r="B20" s="10" t="s">
        <v>7</v>
      </c>
      <c r="C20" s="11">
        <v>6</v>
      </c>
      <c r="D20" s="28" t="s">
        <v>8</v>
      </c>
      <c r="E20" s="27"/>
      <c r="F20" s="27" t="e">
        <f>ale</f>
        <v>#NAME?</v>
      </c>
      <c r="G20" s="27" t="e">
        <f t="shared" ref="G20:Q20" si="10">F20+G4*3-F4*2</f>
        <v>#NAME?</v>
      </c>
      <c r="H20" s="27" t="e">
        <f t="shared" si="10"/>
        <v>#NAME?</v>
      </c>
      <c r="I20" s="27" t="e">
        <f t="shared" si="10"/>
        <v>#NAME?</v>
      </c>
      <c r="J20" s="27" t="e">
        <f t="shared" si="10"/>
        <v>#NAME?</v>
      </c>
      <c r="K20" s="27" t="e">
        <f t="shared" si="10"/>
        <v>#NAME?</v>
      </c>
      <c r="L20" s="27" t="e">
        <f t="shared" si="10"/>
        <v>#NAME?</v>
      </c>
      <c r="M20" s="27" t="e">
        <f t="shared" si="10"/>
        <v>#NAME?</v>
      </c>
      <c r="N20" s="27" t="e">
        <f t="shared" si="10"/>
        <v>#NAME?</v>
      </c>
      <c r="O20" s="27" t="e">
        <f t="shared" si="10"/>
        <v>#NAME?</v>
      </c>
      <c r="P20" s="27" t="e">
        <f t="shared" si="10"/>
        <v>#NAME?</v>
      </c>
      <c r="Q20" s="27" t="e">
        <f t="shared" si="10"/>
        <v>#NAME?</v>
      </c>
      <c r="R20" s="82"/>
      <c r="S20" s="84" t="e">
        <f>SUM(F20:H20)</f>
        <v>#NAME?</v>
      </c>
      <c r="T20" s="84" t="e">
        <f>SUM(I20:K20)</f>
        <v>#NAME?</v>
      </c>
      <c r="U20" s="84" t="e">
        <f>SUM(L20:N20)</f>
        <v>#NAME?</v>
      </c>
      <c r="V20" s="84" t="e">
        <f>SUM(O20:Q20)</f>
        <v>#NAME?</v>
      </c>
      <c r="W20" s="84" t="e">
        <f>SUM(F20:K20)</f>
        <v>#NAME?</v>
      </c>
      <c r="X20" s="84" t="e">
        <f>SUM(L20:Q20)</f>
        <v>#NAME?</v>
      </c>
      <c r="Y20" s="85" t="e">
        <f>SUM(F20:Q20)</f>
        <v>#NAME?</v>
      </c>
    </row>
    <row r="21" spans="1:26" x14ac:dyDescent="0.25">
      <c r="A21" s="10"/>
      <c r="B21" s="10"/>
      <c r="C21" s="11"/>
      <c r="D21" s="28" t="s">
        <v>79</v>
      </c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82"/>
      <c r="S21" s="84">
        <f>SUM(F21:H21)</f>
        <v>0</v>
      </c>
      <c r="T21" s="84">
        <f>SUM(I21:K21)</f>
        <v>0</v>
      </c>
      <c r="U21" s="84">
        <f>SUM(L21:N21)</f>
        <v>0</v>
      </c>
      <c r="V21" s="84">
        <f>SUM(O21:Q21)</f>
        <v>0</v>
      </c>
      <c r="W21" s="84">
        <f>SUM(F21:K21)</f>
        <v>0</v>
      </c>
      <c r="X21" s="84">
        <f>SUM(L21:Q21)</f>
        <v>0</v>
      </c>
      <c r="Y21" s="85">
        <f>SUM(F21:Q21)</f>
        <v>0</v>
      </c>
    </row>
    <row r="22" spans="1:26" ht="30" x14ac:dyDescent="0.25">
      <c r="A22" s="10" t="s">
        <v>6</v>
      </c>
      <c r="B22" s="10" t="s">
        <v>7</v>
      </c>
      <c r="C22" s="11">
        <v>4</v>
      </c>
      <c r="D22" s="81" t="s">
        <v>83</v>
      </c>
      <c r="E22" s="62"/>
      <c r="F22" s="62" t="e">
        <f>F20-F21</f>
        <v>#NAME?</v>
      </c>
      <c r="G22" s="62" t="e">
        <f t="shared" ref="G22:Q22" si="11">G20-G21</f>
        <v>#NAME?</v>
      </c>
      <c r="H22" s="62" t="e">
        <f t="shared" si="11"/>
        <v>#NAME?</v>
      </c>
      <c r="I22" s="62" t="e">
        <f t="shared" si="11"/>
        <v>#NAME?</v>
      </c>
      <c r="J22" s="62" t="e">
        <f t="shared" si="11"/>
        <v>#NAME?</v>
      </c>
      <c r="K22" s="62" t="e">
        <f t="shared" si="11"/>
        <v>#NAME?</v>
      </c>
      <c r="L22" s="62" t="e">
        <f t="shared" si="11"/>
        <v>#NAME?</v>
      </c>
      <c r="M22" s="62" t="e">
        <f t="shared" si="11"/>
        <v>#NAME?</v>
      </c>
      <c r="N22" s="62" t="e">
        <f t="shared" si="11"/>
        <v>#NAME?</v>
      </c>
      <c r="O22" s="62" t="e">
        <f t="shared" si="11"/>
        <v>#NAME?</v>
      </c>
      <c r="P22" s="62" t="e">
        <f t="shared" si="11"/>
        <v>#NAME?</v>
      </c>
      <c r="Q22" s="62" t="e">
        <f t="shared" si="11"/>
        <v>#NAME?</v>
      </c>
      <c r="R22" s="62"/>
      <c r="S22" s="62" t="e">
        <f>S20-S21</f>
        <v>#NAME?</v>
      </c>
      <c r="T22" s="62" t="e">
        <f t="shared" ref="T22" si="12">T20-T21</f>
        <v>#NAME?</v>
      </c>
      <c r="U22" s="62" t="e">
        <f t="shared" ref="U22" si="13">U20-U21</f>
        <v>#NAME?</v>
      </c>
      <c r="V22" s="62" t="e">
        <f t="shared" ref="V22" si="14">V20-V21</f>
        <v>#NAME?</v>
      </c>
      <c r="W22" s="62" t="e">
        <f t="shared" ref="W22" si="15">W20-W21</f>
        <v>#NAME?</v>
      </c>
      <c r="X22" s="62" t="e">
        <f t="shared" ref="X22" si="16">X20-X21</f>
        <v>#NAME?</v>
      </c>
      <c r="Y22" s="85" t="e">
        <f>SUM(F22:Q22)</f>
        <v>#NAME?</v>
      </c>
    </row>
    <row r="23" spans="1:26" ht="30.75" thickBot="1" x14ac:dyDescent="0.3">
      <c r="A23" s="10" t="s">
        <v>6</v>
      </c>
      <c r="B23" s="10" t="s">
        <v>7</v>
      </c>
      <c r="C23" s="11">
        <v>5</v>
      </c>
      <c r="D23" s="81" t="s">
        <v>84</v>
      </c>
      <c r="E23" s="63"/>
      <c r="F23" s="63" t="e">
        <f t="shared" ref="F23:Y23" si="17">F21/F20</f>
        <v>#NAME?</v>
      </c>
      <c r="G23" s="63" t="e">
        <f t="shared" si="17"/>
        <v>#NAME?</v>
      </c>
      <c r="H23" s="63" t="e">
        <f t="shared" si="17"/>
        <v>#NAME?</v>
      </c>
      <c r="I23" s="63" t="e">
        <f t="shared" si="17"/>
        <v>#NAME?</v>
      </c>
      <c r="J23" s="63" t="e">
        <f t="shared" si="17"/>
        <v>#NAME?</v>
      </c>
      <c r="K23" s="63" t="e">
        <f t="shared" si="17"/>
        <v>#NAME?</v>
      </c>
      <c r="L23" s="63" t="e">
        <f t="shared" si="17"/>
        <v>#NAME?</v>
      </c>
      <c r="M23" s="63" t="e">
        <f t="shared" si="17"/>
        <v>#NAME?</v>
      </c>
      <c r="N23" s="63" t="e">
        <f t="shared" si="17"/>
        <v>#NAME?</v>
      </c>
      <c r="O23" s="63" t="e">
        <f t="shared" si="17"/>
        <v>#NAME?</v>
      </c>
      <c r="P23" s="63" t="e">
        <f t="shared" si="17"/>
        <v>#NAME?</v>
      </c>
      <c r="Q23" s="63" t="e">
        <f t="shared" si="17"/>
        <v>#NAME?</v>
      </c>
      <c r="R23" s="63"/>
      <c r="S23" s="63" t="e">
        <f t="shared" si="17"/>
        <v>#NAME?</v>
      </c>
      <c r="T23" s="63" t="e">
        <f t="shared" si="17"/>
        <v>#NAME?</v>
      </c>
      <c r="U23" s="63" t="e">
        <f t="shared" si="17"/>
        <v>#NAME?</v>
      </c>
      <c r="V23" s="63" t="e">
        <f t="shared" si="17"/>
        <v>#NAME?</v>
      </c>
      <c r="W23" s="63" t="e">
        <f t="shared" si="17"/>
        <v>#NAME?</v>
      </c>
      <c r="X23" s="63" t="e">
        <f t="shared" si="17"/>
        <v>#NAME?</v>
      </c>
      <c r="Y23" s="96" t="e">
        <f t="shared" si="17"/>
        <v>#NAME?</v>
      </c>
    </row>
    <row r="24" spans="1:26" ht="18" customHeight="1" thickBot="1" x14ac:dyDescent="0.3">
      <c r="A24" s="10"/>
      <c r="B24" s="10"/>
      <c r="C24" s="11"/>
      <c r="D24" s="28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82"/>
      <c r="S24" s="84"/>
      <c r="T24" s="84"/>
      <c r="U24" s="84"/>
      <c r="V24" s="84"/>
      <c r="W24" s="84"/>
      <c r="X24" s="87"/>
      <c r="Y24" s="95"/>
    </row>
    <row r="25" spans="1:26" ht="18" customHeight="1" thickBot="1" x14ac:dyDescent="0.3">
      <c r="A25" s="10"/>
      <c r="B25" s="10"/>
      <c r="C25" s="11"/>
      <c r="D25" s="89" t="s">
        <v>74</v>
      </c>
      <c r="E25" s="26"/>
      <c r="F25" s="26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82"/>
      <c r="S25" s="84"/>
      <c r="T25" s="84"/>
      <c r="U25" s="84"/>
      <c r="V25" s="84"/>
      <c r="W25" s="84"/>
      <c r="X25" s="87"/>
      <c r="Y25" s="95"/>
    </row>
    <row r="26" spans="1:26" ht="15.75" thickBot="1" x14ac:dyDescent="0.3">
      <c r="A26" s="10"/>
      <c r="B26" s="10"/>
      <c r="C26" s="11"/>
      <c r="D26" s="28" t="s">
        <v>75</v>
      </c>
      <c r="E26" s="27"/>
      <c r="F26" s="27">
        <f>$Y$26/12</f>
        <v>375000</v>
      </c>
      <c r="G26" s="27">
        <f>F26+$Y$26/12</f>
        <v>750000</v>
      </c>
      <c r="H26" s="27">
        <f t="shared" ref="H26:Q26" si="18">G26+$Y$26/12</f>
        <v>1125000</v>
      </c>
      <c r="I26" s="27">
        <f t="shared" si="18"/>
        <v>1500000</v>
      </c>
      <c r="J26" s="27">
        <f t="shared" si="18"/>
        <v>1875000</v>
      </c>
      <c r="K26" s="27">
        <f t="shared" si="18"/>
        <v>2250000</v>
      </c>
      <c r="L26" s="27">
        <f t="shared" si="18"/>
        <v>2625000</v>
      </c>
      <c r="M26" s="27">
        <f t="shared" si="18"/>
        <v>3000000</v>
      </c>
      <c r="N26" s="27">
        <f t="shared" si="18"/>
        <v>3375000</v>
      </c>
      <c r="O26" s="27">
        <f t="shared" si="18"/>
        <v>3750000</v>
      </c>
      <c r="P26" s="27">
        <f t="shared" si="18"/>
        <v>4125000</v>
      </c>
      <c r="Q26" s="27">
        <f t="shared" si="18"/>
        <v>4500000</v>
      </c>
      <c r="R26" s="82"/>
      <c r="S26" s="84">
        <f>$Y$26/4</f>
        <v>1125000</v>
      </c>
      <c r="T26" s="84">
        <f>S26+$Y$26/4</f>
        <v>2250000</v>
      </c>
      <c r="U26" s="84">
        <f t="shared" ref="U26:V26" si="19">T26+$Y$26/4</f>
        <v>3375000</v>
      </c>
      <c r="V26" s="84">
        <f t="shared" si="19"/>
        <v>4500000</v>
      </c>
      <c r="W26" s="84">
        <f>$Y$26/2</f>
        <v>2250000</v>
      </c>
      <c r="X26" s="84">
        <f>W26+$Y$26/2</f>
        <v>4500000</v>
      </c>
      <c r="Y26" s="139">
        <f>MEMO!B13</f>
        <v>4500000</v>
      </c>
    </row>
    <row r="27" spans="1:26" x14ac:dyDescent="0.25">
      <c r="A27" s="10" t="s">
        <v>5</v>
      </c>
      <c r="B27" s="10" t="s">
        <v>7</v>
      </c>
      <c r="C27" s="11">
        <v>3</v>
      </c>
      <c r="D27" s="81" t="s">
        <v>3</v>
      </c>
      <c r="E27" s="63"/>
      <c r="F27" s="63">
        <f>F5/$Y$26</f>
        <v>0.12021288888888915</v>
      </c>
      <c r="G27" s="63">
        <f t="shared" ref="G27:Q27" si="20">G5/$Y$26</f>
        <v>0.14585466666666694</v>
      </c>
      <c r="H27" s="63">
        <f t="shared" si="20"/>
        <v>0.18722511111111137</v>
      </c>
      <c r="I27" s="63">
        <f t="shared" si="20"/>
        <v>0.2689384444444447</v>
      </c>
      <c r="J27" s="63">
        <f t="shared" si="20"/>
        <v>0.32159533333333357</v>
      </c>
      <c r="K27" s="63">
        <f t="shared" si="20"/>
        <v>0.46337066666666693</v>
      </c>
      <c r="L27" s="63">
        <f t="shared" si="20"/>
        <v>0.59314955555555571</v>
      </c>
      <c r="M27" s="63">
        <f t="shared" si="20"/>
        <v>0.61036955555555572</v>
      </c>
      <c r="N27" s="63">
        <f t="shared" si="20"/>
        <v>0.80488044444444462</v>
      </c>
      <c r="O27" s="63">
        <f t="shared" si="20"/>
        <v>0.83384133333333355</v>
      </c>
      <c r="P27" s="63">
        <f t="shared" si="20"/>
        <v>1.0500811111111112</v>
      </c>
      <c r="Q27" s="63">
        <f t="shared" si="20"/>
        <v>1.1111111111111114</v>
      </c>
      <c r="R27" s="63"/>
      <c r="S27" s="123">
        <f>S5/$Y$26</f>
        <v>0.18722511111111137</v>
      </c>
      <c r="T27" s="123">
        <f t="shared" ref="T27:V27" si="21">T5/$Y$26</f>
        <v>0.46337066666666693</v>
      </c>
      <c r="U27" s="123">
        <f t="shared" si="21"/>
        <v>0.80488044444444462</v>
      </c>
      <c r="V27" s="123">
        <f t="shared" si="21"/>
        <v>1.1111111111111114</v>
      </c>
      <c r="W27" s="63"/>
      <c r="X27" s="63"/>
      <c r="Y27" s="138"/>
    </row>
    <row r="30" spans="1:26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</row>
    <row r="31" spans="1:26" x14ac:dyDescent="0.25">
      <c r="A31" s="13"/>
      <c r="B31" s="13"/>
      <c r="C31" s="13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</row>
    <row r="32" spans="1:26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19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</row>
    <row r="34" spans="1:19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A1:W17"/>
  <sheetViews>
    <sheetView topLeftCell="D1" zoomScale="85" zoomScaleNormal="85" workbookViewId="0">
      <pane xSplit="1" ySplit="1" topLeftCell="E2" activePane="bottomRight" state="frozen"/>
      <selection activeCell="D1" sqref="D1"/>
      <selection pane="topRight" activeCell="E1" sqref="E1"/>
      <selection pane="bottomLeft" activeCell="D2" sqref="D2"/>
      <selection pane="bottomRight" activeCell="F32" sqref="F32"/>
    </sheetView>
  </sheetViews>
  <sheetFormatPr baseColWidth="10" defaultRowHeight="15" outlineLevelCol="1" x14ac:dyDescent="0.25"/>
  <cols>
    <col min="1" max="1" width="16.5703125" hidden="1" customWidth="1" outlineLevel="1"/>
    <col min="2" max="2" width="0" hidden="1" customWidth="1" outlineLevel="1"/>
    <col min="3" max="3" width="13" hidden="1" customWidth="1" outlineLevel="1"/>
    <col min="4" max="4" width="53.7109375" customWidth="1" collapsed="1"/>
  </cols>
  <sheetData>
    <row r="1" spans="1:23" ht="15.75" thickBot="1" x14ac:dyDescent="0.3">
      <c r="A1" s="13"/>
      <c r="B1" s="13"/>
      <c r="C1" s="11" t="s">
        <v>12</v>
      </c>
      <c r="D1" s="18" t="s">
        <v>9</v>
      </c>
      <c r="E1" s="20" t="str">
        <f>'1_PerfAchats'!S1</f>
        <v>T1-2017</v>
      </c>
      <c r="F1" s="20" t="str">
        <f>'1_PerfAchats'!T1</f>
        <v>T2-2017</v>
      </c>
      <c r="G1" s="20" t="str">
        <f>'1_PerfAchats'!U1</f>
        <v>T3-2017</v>
      </c>
      <c r="H1" s="20" t="str">
        <f>'1_PerfAchats'!V1</f>
        <v>T4-2017</v>
      </c>
      <c r="I1" s="20" t="str">
        <f>'1_PerfAchats'!W1</f>
        <v>S1-2017</v>
      </c>
      <c r="J1" s="20" t="str">
        <f>'1_PerfAchats'!X1</f>
        <v>S1-2017</v>
      </c>
      <c r="K1" s="20" t="str">
        <f>'1_PerfAchats'!Y1</f>
        <v>TOTAL</v>
      </c>
    </row>
    <row r="2" spans="1:23" ht="8.25" customHeight="1" thickBot="1" x14ac:dyDescent="0.3">
      <c r="A2" s="13"/>
      <c r="B2" s="13"/>
      <c r="C2" s="11"/>
      <c r="D2" s="102"/>
      <c r="E2" s="103"/>
      <c r="F2" s="103"/>
      <c r="G2" s="103"/>
      <c r="H2" s="103"/>
      <c r="I2" s="103"/>
      <c r="J2" s="103"/>
      <c r="K2" s="103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</row>
    <row r="3" spans="1:23" ht="8.25" customHeight="1" x14ac:dyDescent="0.25">
      <c r="A3" s="13"/>
      <c r="B3" s="13"/>
      <c r="C3" s="11"/>
      <c r="D3" s="126"/>
      <c r="E3" s="103"/>
      <c r="F3" s="103"/>
      <c r="G3" s="103"/>
      <c r="H3" s="103"/>
      <c r="I3" s="103"/>
      <c r="J3" s="103"/>
      <c r="K3" s="103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</row>
    <row r="4" spans="1:23" ht="30" x14ac:dyDescent="0.25">
      <c r="A4" s="10" t="s">
        <v>10</v>
      </c>
      <c r="B4" s="13"/>
      <c r="C4" s="11">
        <v>3</v>
      </c>
      <c r="D4" s="30" t="s">
        <v>87</v>
      </c>
      <c r="E4" s="33">
        <v>0.25</v>
      </c>
      <c r="F4" s="33">
        <v>0.17</v>
      </c>
      <c r="G4" s="33">
        <v>0.2</v>
      </c>
      <c r="H4" s="33">
        <v>0.25</v>
      </c>
      <c r="I4" s="74">
        <f>AVERAGE(E4:F4)</f>
        <v>0.21000000000000002</v>
      </c>
      <c r="J4" s="74">
        <f>AVERAGE(G4:H4)</f>
        <v>0.22500000000000001</v>
      </c>
      <c r="K4" s="74">
        <f>AVERAGE(I4:J4)</f>
        <v>0.21750000000000003</v>
      </c>
    </row>
    <row r="5" spans="1:23" x14ac:dyDescent="0.25">
      <c r="A5" s="13"/>
      <c r="B5" s="13"/>
      <c r="C5" s="11"/>
      <c r="D5" s="30" t="s">
        <v>88</v>
      </c>
      <c r="E5" s="33">
        <f>E4-5%</f>
        <v>0.2</v>
      </c>
      <c r="F5" s="33">
        <f t="shared" ref="F5:H5" si="0">F4-5%</f>
        <v>0.12000000000000001</v>
      </c>
      <c r="G5" s="33">
        <f t="shared" si="0"/>
        <v>0.15000000000000002</v>
      </c>
      <c r="H5" s="33">
        <f t="shared" si="0"/>
        <v>0.2</v>
      </c>
      <c r="I5" s="74">
        <f>AVERAGE(E5:F5)</f>
        <v>0.16</v>
      </c>
      <c r="J5" s="74">
        <f>AVERAGE(G5:H5)</f>
        <v>0.17500000000000002</v>
      </c>
      <c r="K5" s="74">
        <f>AVERAGE(I5:J5)</f>
        <v>0.16750000000000001</v>
      </c>
    </row>
    <row r="6" spans="1:23" x14ac:dyDescent="0.25">
      <c r="A6" s="13"/>
      <c r="B6" s="13"/>
      <c r="C6" s="11"/>
      <c r="D6" s="100"/>
      <c r="E6" s="101"/>
      <c r="F6" s="101"/>
      <c r="G6" s="101"/>
      <c r="H6" s="101"/>
      <c r="I6" s="101"/>
      <c r="J6" s="101"/>
      <c r="K6" s="101"/>
    </row>
    <row r="7" spans="1:23" x14ac:dyDescent="0.25">
      <c r="A7" s="13"/>
      <c r="B7" s="13"/>
      <c r="C7" s="13"/>
      <c r="D7" s="12" t="s">
        <v>108</v>
      </c>
      <c r="E7" s="13"/>
      <c r="F7" s="13"/>
      <c r="G7" s="13"/>
      <c r="H7" s="13"/>
      <c r="I7" s="13"/>
      <c r="J7" s="13"/>
      <c r="K7" s="13"/>
    </row>
    <row r="8" spans="1:23" x14ac:dyDescent="0.25">
      <c r="A8" s="13"/>
      <c r="B8" s="13"/>
      <c r="C8" s="13"/>
      <c r="D8" s="12" t="s">
        <v>109</v>
      </c>
      <c r="E8" s="13"/>
      <c r="F8" s="13"/>
      <c r="G8" s="13"/>
      <c r="H8" s="13"/>
      <c r="I8" s="13"/>
      <c r="J8" s="13"/>
      <c r="K8" s="13"/>
    </row>
    <row r="9" spans="1:23" x14ac:dyDescent="0.25">
      <c r="A9" s="13"/>
      <c r="B9" s="13"/>
      <c r="C9" s="13"/>
      <c r="D9" s="12"/>
      <c r="E9" s="13"/>
      <c r="F9" s="13"/>
      <c r="G9" s="13"/>
      <c r="H9" s="13"/>
      <c r="I9" s="13"/>
      <c r="J9" s="13"/>
      <c r="K9" s="13"/>
    </row>
    <row r="10" spans="1:23" x14ac:dyDescent="0.25">
      <c r="A10" s="13"/>
      <c r="B10" s="13"/>
      <c r="C10" s="13"/>
      <c r="D10" s="12"/>
      <c r="E10" s="13"/>
      <c r="F10" s="13"/>
      <c r="G10" s="13"/>
      <c r="H10" s="13"/>
      <c r="I10" s="13"/>
      <c r="J10" s="13"/>
      <c r="K10" s="13"/>
    </row>
    <row r="11" spans="1:23" x14ac:dyDescent="0.25">
      <c r="A11" s="13"/>
      <c r="B11" s="13"/>
      <c r="C11" s="13"/>
      <c r="D11" s="12"/>
      <c r="E11" s="13"/>
      <c r="F11" s="13"/>
      <c r="G11" s="13"/>
      <c r="H11" s="13"/>
      <c r="I11" s="13"/>
      <c r="J11" s="13"/>
      <c r="K11" s="13"/>
    </row>
    <row r="12" spans="1:23" x14ac:dyDescent="0.25">
      <c r="A12" s="13"/>
      <c r="B12" s="13"/>
      <c r="C12" s="13"/>
      <c r="D12" s="12"/>
      <c r="E12" s="13"/>
      <c r="F12" s="13"/>
      <c r="G12" s="13"/>
      <c r="H12" s="13"/>
      <c r="I12" s="13"/>
      <c r="J12" s="13"/>
      <c r="K12" s="13"/>
    </row>
    <row r="13" spans="1:23" x14ac:dyDescent="0.25">
      <c r="A13" s="13"/>
      <c r="B13" s="13"/>
      <c r="C13" s="13"/>
      <c r="D13" s="12"/>
      <c r="E13" s="13"/>
      <c r="F13" s="13"/>
      <c r="G13" s="13"/>
      <c r="H13" s="13"/>
      <c r="I13" s="13"/>
      <c r="J13" s="13"/>
      <c r="K13" s="13"/>
    </row>
    <row r="14" spans="1:23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23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23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W141"/>
  <sheetViews>
    <sheetView topLeftCell="D1" zoomScale="85" zoomScaleNormal="85" workbookViewId="0">
      <pane xSplit="1" ySplit="1" topLeftCell="L2" activePane="bottomRight" state="frozen"/>
      <selection activeCell="D1" sqref="D1"/>
      <selection pane="topRight" activeCell="E1" sqref="E1"/>
      <selection pane="bottomLeft" activeCell="D2" sqref="D2"/>
      <selection pane="bottomRight" activeCell="U105" sqref="U105"/>
    </sheetView>
  </sheetViews>
  <sheetFormatPr baseColWidth="10" defaultRowHeight="15" outlineLevelCol="1" x14ac:dyDescent="0.25"/>
  <cols>
    <col min="1" max="1" width="13" hidden="1" customWidth="1" outlineLevel="1"/>
    <col min="2" max="2" width="11.28515625" hidden="1" customWidth="1" outlineLevel="1"/>
    <col min="3" max="3" width="13" hidden="1" customWidth="1" outlineLevel="1"/>
    <col min="4" max="4" width="53.7109375" customWidth="1" collapsed="1"/>
    <col min="5" max="12" width="14.28515625" bestFit="1" customWidth="1"/>
    <col min="13" max="13" width="14.5703125" bestFit="1" customWidth="1"/>
    <col min="14" max="14" width="12.28515625" bestFit="1" customWidth="1"/>
    <col min="15" max="15" width="16.85546875" customWidth="1"/>
    <col min="16" max="16" width="16.140625" bestFit="1" customWidth="1"/>
    <col min="17" max="17" width="16.85546875" customWidth="1"/>
    <col min="18" max="18" width="10.28515625" bestFit="1" customWidth="1"/>
  </cols>
  <sheetData>
    <row r="1" spans="1:23" ht="15.75" thickBot="1" x14ac:dyDescent="0.3">
      <c r="A1" s="8"/>
      <c r="B1" s="8"/>
      <c r="C1" s="7" t="s">
        <v>12</v>
      </c>
      <c r="D1" s="18" t="s">
        <v>9</v>
      </c>
      <c r="E1" s="20" t="s">
        <v>59</v>
      </c>
      <c r="F1" s="20" t="s">
        <v>60</v>
      </c>
      <c r="G1" s="20" t="s">
        <v>61</v>
      </c>
      <c r="H1" s="20" t="s">
        <v>62</v>
      </c>
      <c r="I1" s="20" t="s">
        <v>63</v>
      </c>
      <c r="J1" s="20" t="s">
        <v>64</v>
      </c>
      <c r="K1" s="20" t="s">
        <v>65</v>
      </c>
      <c r="L1" s="20" t="s">
        <v>66</v>
      </c>
      <c r="M1" s="20" t="s">
        <v>67</v>
      </c>
      <c r="N1" s="20" t="s">
        <v>68</v>
      </c>
      <c r="O1" s="20" t="s">
        <v>69</v>
      </c>
      <c r="P1" s="20" t="s">
        <v>70</v>
      </c>
      <c r="Q1" s="20" t="str">
        <f>'1_PerfAchats'!S1</f>
        <v>T1-2017</v>
      </c>
      <c r="R1" s="20" t="str">
        <f>'1_PerfAchats'!T1</f>
        <v>T2-2017</v>
      </c>
      <c r="S1" s="20" t="str">
        <f>'1_PerfAchats'!U1</f>
        <v>T3-2017</v>
      </c>
      <c r="T1" s="20" t="str">
        <f>'1_PerfAchats'!V1</f>
        <v>T4-2017</v>
      </c>
      <c r="U1" s="20" t="str">
        <f>'1_PerfAchats'!W1</f>
        <v>S1-2017</v>
      </c>
      <c r="V1" s="20" t="str">
        <f>'1_PerfAchats'!X1</f>
        <v>S1-2017</v>
      </c>
      <c r="W1" s="20" t="s">
        <v>72</v>
      </c>
    </row>
    <row r="2" spans="1:23" ht="9" customHeight="1" thickBot="1" x14ac:dyDescent="0.3">
      <c r="A2" s="8"/>
      <c r="B2" s="8"/>
      <c r="C2" s="7"/>
      <c r="D2" s="102"/>
      <c r="E2" s="103"/>
      <c r="F2" s="103"/>
      <c r="G2" s="103" t="str">
        <f>Q1</f>
        <v>T1-2017</v>
      </c>
      <c r="H2" s="103"/>
      <c r="I2" s="103"/>
      <c r="J2" s="103" t="str">
        <f>R1</f>
        <v>T2-2017</v>
      </c>
      <c r="K2" s="103"/>
      <c r="L2" s="103"/>
      <c r="M2" s="103" t="str">
        <f>S1</f>
        <v>T3-2017</v>
      </c>
      <c r="N2" s="103"/>
      <c r="O2" s="103"/>
      <c r="P2" s="103" t="str">
        <f>T1</f>
        <v>T4-2017</v>
      </c>
      <c r="Q2" s="103" t="str">
        <f>Q1</f>
        <v>T1-2017</v>
      </c>
      <c r="R2" s="103" t="str">
        <f t="shared" ref="R2:T2" si="0">R1</f>
        <v>T2-2017</v>
      </c>
      <c r="S2" s="103" t="str">
        <f t="shared" si="0"/>
        <v>T3-2017</v>
      </c>
      <c r="T2" s="103" t="str">
        <f t="shared" si="0"/>
        <v>T4-2017</v>
      </c>
      <c r="U2" s="103"/>
      <c r="V2" s="103"/>
      <c r="W2" s="103"/>
    </row>
    <row r="3" spans="1:23" x14ac:dyDescent="0.25">
      <c r="A3" s="8"/>
      <c r="B3" s="8"/>
      <c r="C3" s="7"/>
      <c r="D3" s="105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06"/>
      <c r="R3" s="106"/>
      <c r="S3" s="106"/>
      <c r="T3" s="106"/>
      <c r="U3" s="106"/>
      <c r="V3" s="106"/>
      <c r="W3" s="107"/>
    </row>
    <row r="4" spans="1:23" x14ac:dyDescent="0.25">
      <c r="A4" s="8"/>
      <c r="B4" s="8"/>
      <c r="C4" s="7"/>
      <c r="D4" s="22" t="s">
        <v>89</v>
      </c>
      <c r="E4" s="142">
        <v>1800</v>
      </c>
      <c r="F4" s="115">
        <v>1208</v>
      </c>
      <c r="G4" s="115">
        <v>1423</v>
      </c>
      <c r="H4" s="115">
        <v>1369</v>
      </c>
      <c r="I4" s="115">
        <v>1218</v>
      </c>
      <c r="J4" s="142">
        <v>1900</v>
      </c>
      <c r="K4" s="115">
        <v>1350</v>
      </c>
      <c r="L4" s="115">
        <v>1290</v>
      </c>
      <c r="M4" s="115">
        <v>1393</v>
      </c>
      <c r="N4" s="142">
        <v>2000</v>
      </c>
      <c r="O4" s="115">
        <v>1403</v>
      </c>
      <c r="P4" s="115">
        <v>1262</v>
      </c>
      <c r="Q4" s="111">
        <f>SUM(E4:G4)</f>
        <v>4431</v>
      </c>
      <c r="R4" s="111">
        <f>SUM(H4:J4)</f>
        <v>4487</v>
      </c>
      <c r="S4" s="111">
        <f>SUM(K4:M4)</f>
        <v>4033</v>
      </c>
      <c r="T4" s="111">
        <f>SUM(N4:P4)</f>
        <v>4665</v>
      </c>
      <c r="U4" s="111">
        <f>SUM(E4:J4)</f>
        <v>8918</v>
      </c>
      <c r="V4" s="111">
        <f>SUM(K4:P4)</f>
        <v>8698</v>
      </c>
      <c r="W4" s="112">
        <f>SUM(E4:P4)</f>
        <v>17616</v>
      </c>
    </row>
    <row r="5" spans="1:23" x14ac:dyDescent="0.25">
      <c r="A5" s="8"/>
      <c r="B5" s="8"/>
      <c r="C5" s="7"/>
      <c r="D5" s="81" t="s">
        <v>90</v>
      </c>
      <c r="E5" s="116">
        <f>SUM($E4:E4)</f>
        <v>1800</v>
      </c>
      <c r="F5" s="116">
        <f>SUM($E4:F4)</f>
        <v>3008</v>
      </c>
      <c r="G5" s="116">
        <f>SUM($E4:G4)</f>
        <v>4431</v>
      </c>
      <c r="H5" s="116">
        <f>SUM($E4:H4)</f>
        <v>5800</v>
      </c>
      <c r="I5" s="116">
        <f>SUM($E4:I4)</f>
        <v>7018</v>
      </c>
      <c r="J5" s="116">
        <f>SUM($E4:J4)</f>
        <v>8918</v>
      </c>
      <c r="K5" s="116">
        <f>SUM($E4:K4)</f>
        <v>10268</v>
      </c>
      <c r="L5" s="116">
        <f>SUM($E4:L4)</f>
        <v>11558</v>
      </c>
      <c r="M5" s="116">
        <f>SUM($E4:M4)</f>
        <v>12951</v>
      </c>
      <c r="N5" s="116">
        <f>SUM($E4:N4)</f>
        <v>14951</v>
      </c>
      <c r="O5" s="116">
        <f>SUM($E4:O4)</f>
        <v>16354</v>
      </c>
      <c r="P5" s="116">
        <f>SUM($E4:P4)</f>
        <v>17616</v>
      </c>
      <c r="Q5" s="113">
        <f>HLOOKUP(Q$1,$D$2:$P$44,ROW(D5)-1,0)</f>
        <v>4431</v>
      </c>
      <c r="R5" s="113">
        <f>HLOOKUP(R$1,$D$2:$P$44,ROW(E5)-1,0)</f>
        <v>8918</v>
      </c>
      <c r="S5" s="113">
        <f>HLOOKUP(S$1,$D$2:$P$44,ROW(F5)-1,0)</f>
        <v>12951</v>
      </c>
      <c r="T5" s="113">
        <f>HLOOKUP(T$1,$D$2:$P$44,ROW(G5)-1,0)</f>
        <v>17616</v>
      </c>
      <c r="U5" s="113">
        <f>R5</f>
        <v>8918</v>
      </c>
      <c r="V5" s="113">
        <f>T5</f>
        <v>17616</v>
      </c>
      <c r="W5" s="114">
        <f>W4</f>
        <v>17616</v>
      </c>
    </row>
    <row r="6" spans="1:23" x14ac:dyDescent="0.25">
      <c r="A6" s="10" t="s">
        <v>10</v>
      </c>
      <c r="B6" s="13" t="s">
        <v>15</v>
      </c>
      <c r="C6" s="11">
        <v>2</v>
      </c>
      <c r="D6" s="25" t="s">
        <v>4</v>
      </c>
      <c r="E6" s="108">
        <v>10691</v>
      </c>
      <c r="F6" s="108">
        <v>9383</v>
      </c>
      <c r="G6" s="108">
        <v>8761</v>
      </c>
      <c r="H6" s="108">
        <v>9087</v>
      </c>
      <c r="I6" s="108">
        <v>9668</v>
      </c>
      <c r="J6" s="108">
        <v>8763</v>
      </c>
      <c r="K6" s="108">
        <v>9195</v>
      </c>
      <c r="L6" s="108">
        <v>11446</v>
      </c>
      <c r="M6" s="108">
        <v>10202</v>
      </c>
      <c r="N6" s="108">
        <v>10459</v>
      </c>
      <c r="O6" s="108">
        <v>10538</v>
      </c>
      <c r="P6" s="108">
        <v>8795</v>
      </c>
      <c r="Q6" s="111">
        <f>SUM(E6:G6)</f>
        <v>28835</v>
      </c>
      <c r="R6" s="111">
        <f>SUM(H6:J6)</f>
        <v>27518</v>
      </c>
      <c r="S6" s="111">
        <f>SUM(K6:M6)</f>
        <v>30843</v>
      </c>
      <c r="T6" s="111">
        <f>SUM(N6:P6)</f>
        <v>29792</v>
      </c>
      <c r="U6" s="111">
        <f>SUM(E6:J6)</f>
        <v>56353</v>
      </c>
      <c r="V6" s="111">
        <f>SUM(K6:P6)</f>
        <v>60635</v>
      </c>
      <c r="W6" s="112">
        <f>SUM(E6:P6)</f>
        <v>116988</v>
      </c>
    </row>
    <row r="7" spans="1:23" x14ac:dyDescent="0.25">
      <c r="A7" s="10"/>
      <c r="B7" s="13"/>
      <c r="C7" s="11"/>
      <c r="D7" s="25" t="s">
        <v>141</v>
      </c>
      <c r="E7" s="108">
        <f>SUM($E$8:E8)/E5</f>
        <v>10691</v>
      </c>
      <c r="F7" s="108">
        <f>SUM($E$8:F8)/F5</f>
        <v>10165.712765957447</v>
      </c>
      <c r="G7" s="108">
        <f>SUM($E$8:G8)/G5</f>
        <v>9714.594222523132</v>
      </c>
      <c r="H7" s="108">
        <f>SUM($E$8:H8)/H5</f>
        <v>9566.4603448275866</v>
      </c>
      <c r="I7" s="108">
        <f>SUM($E$8:I8)/I5</f>
        <v>9584.0829296095762</v>
      </c>
      <c r="J7" s="108">
        <f>SUM($E$8:J8)/J5</f>
        <v>9409.1493608432393</v>
      </c>
      <c r="K7" s="108">
        <f>SUM($E$8:K8)/K5</f>
        <v>9380.993767043241</v>
      </c>
      <c r="L7" s="108">
        <f>SUM($E$8:L8)/L5</f>
        <v>9611.4711887869871</v>
      </c>
      <c r="M7" s="108">
        <f>SUM($E$8:M8)/M5</f>
        <v>9674.9880318122159</v>
      </c>
      <c r="N7" s="108">
        <f>SUM($E$8:N8)/N5</f>
        <v>9779.8655608320514</v>
      </c>
      <c r="O7" s="108">
        <f>SUM($E$8:O8)/O5</f>
        <v>9844.9054665525255</v>
      </c>
      <c r="P7" s="108">
        <f>SUM($E$8:P8)/P5</f>
        <v>9769.6908492279745</v>
      </c>
      <c r="Q7" s="111"/>
      <c r="R7" s="111"/>
      <c r="S7" s="111"/>
      <c r="T7" s="111"/>
      <c r="U7" s="111"/>
      <c r="V7" s="111"/>
      <c r="W7" s="112"/>
    </row>
    <row r="8" spans="1:23" x14ac:dyDescent="0.25">
      <c r="A8" s="10"/>
      <c r="B8" s="13"/>
      <c r="C8" s="11"/>
      <c r="D8" s="25" t="s">
        <v>142</v>
      </c>
      <c r="E8" s="161">
        <f>E6*E4</f>
        <v>19243800</v>
      </c>
      <c r="F8" s="161">
        <f t="shared" ref="F8:P8" si="1">F6*F4</f>
        <v>11334664</v>
      </c>
      <c r="G8" s="161">
        <f t="shared" si="1"/>
        <v>12466903</v>
      </c>
      <c r="H8" s="161">
        <f t="shared" si="1"/>
        <v>12440103</v>
      </c>
      <c r="I8" s="161">
        <f t="shared" si="1"/>
        <v>11775624</v>
      </c>
      <c r="J8" s="161">
        <f t="shared" si="1"/>
        <v>16649700</v>
      </c>
      <c r="K8" s="161">
        <f t="shared" si="1"/>
        <v>12413250</v>
      </c>
      <c r="L8" s="161">
        <f t="shared" si="1"/>
        <v>14765340</v>
      </c>
      <c r="M8" s="161">
        <f t="shared" si="1"/>
        <v>14211386</v>
      </c>
      <c r="N8" s="161">
        <f t="shared" si="1"/>
        <v>20918000</v>
      </c>
      <c r="O8" s="161">
        <f t="shared" si="1"/>
        <v>14784814</v>
      </c>
      <c r="P8" s="161">
        <f t="shared" si="1"/>
        <v>11099290</v>
      </c>
      <c r="Q8" s="111"/>
      <c r="R8" s="111"/>
      <c r="S8" s="111"/>
      <c r="T8" s="111"/>
      <c r="U8" s="111"/>
      <c r="V8" s="111"/>
      <c r="W8" s="112"/>
    </row>
    <row r="9" spans="1:23" x14ac:dyDescent="0.25">
      <c r="A9" s="10"/>
      <c r="B9" s="13"/>
      <c r="C9" s="11"/>
      <c r="D9" s="118"/>
      <c r="E9" s="119"/>
      <c r="F9" s="120"/>
      <c r="G9" s="120"/>
      <c r="H9" s="120"/>
      <c r="I9" s="120"/>
      <c r="J9" s="120"/>
      <c r="K9" s="120"/>
      <c r="L9" s="120"/>
      <c r="M9" s="120"/>
      <c r="N9" s="120"/>
      <c r="O9" s="121"/>
      <c r="P9" s="109"/>
      <c r="Q9" s="109"/>
      <c r="R9" s="109"/>
      <c r="S9" s="109"/>
      <c r="T9" s="109"/>
      <c r="U9" s="109"/>
      <c r="V9" s="109"/>
      <c r="W9" s="110"/>
    </row>
    <row r="10" spans="1:23" x14ac:dyDescent="0.25">
      <c r="A10" s="10"/>
      <c r="B10" s="13"/>
      <c r="C10" s="11"/>
      <c r="D10" s="25" t="s">
        <v>91</v>
      </c>
      <c r="E10" s="142">
        <f>50</f>
        <v>50</v>
      </c>
      <c r="F10" s="117">
        <v>35</v>
      </c>
      <c r="G10" s="117">
        <v>41</v>
      </c>
      <c r="H10" s="117">
        <v>40</v>
      </c>
      <c r="I10" s="117">
        <v>36</v>
      </c>
      <c r="J10" s="142">
        <v>56</v>
      </c>
      <c r="K10" s="117">
        <v>36</v>
      </c>
      <c r="L10" s="117">
        <v>33</v>
      </c>
      <c r="M10" s="117">
        <v>38</v>
      </c>
      <c r="N10" s="117">
        <v>42</v>
      </c>
      <c r="O10" s="117">
        <v>39</v>
      </c>
      <c r="P10" s="142">
        <v>55</v>
      </c>
      <c r="Q10" s="111">
        <f>SUM(E10:G10)</f>
        <v>126</v>
      </c>
      <c r="R10" s="111">
        <f>SUM(H10:J10)</f>
        <v>132</v>
      </c>
      <c r="S10" s="111">
        <f>SUM(K10:M10)</f>
        <v>107</v>
      </c>
      <c r="T10" s="111">
        <f>SUM(N10:P10)</f>
        <v>136</v>
      </c>
      <c r="U10" s="111">
        <f>SUM(E10:J10)</f>
        <v>258</v>
      </c>
      <c r="V10" s="111">
        <f>SUM(K10:P10)</f>
        <v>243</v>
      </c>
      <c r="W10" s="112">
        <f>SUM(E10:P10)</f>
        <v>501</v>
      </c>
    </row>
    <row r="11" spans="1:23" x14ac:dyDescent="0.25">
      <c r="A11" s="10"/>
      <c r="B11" s="13"/>
      <c r="C11" s="11"/>
      <c r="D11" s="81" t="s">
        <v>92</v>
      </c>
      <c r="E11" s="116">
        <f>SUM($E10:E10)</f>
        <v>50</v>
      </c>
      <c r="F11" s="116">
        <f>SUM($E10:F10)</f>
        <v>85</v>
      </c>
      <c r="G11" s="116">
        <f>SUM($E10:G10)</f>
        <v>126</v>
      </c>
      <c r="H11" s="116">
        <f>SUM($E10:H10)</f>
        <v>166</v>
      </c>
      <c r="I11" s="116">
        <f>SUM($E10:I10)</f>
        <v>202</v>
      </c>
      <c r="J11" s="116">
        <f>SUM($E10:J10)</f>
        <v>258</v>
      </c>
      <c r="K11" s="116">
        <f>SUM($E10:K10)</f>
        <v>294</v>
      </c>
      <c r="L11" s="116">
        <f>SUM($E10:L10)</f>
        <v>327</v>
      </c>
      <c r="M11" s="116">
        <f>SUM($E10:M10)</f>
        <v>365</v>
      </c>
      <c r="N11" s="116">
        <f>SUM($E10:N10)</f>
        <v>407</v>
      </c>
      <c r="O11" s="116">
        <f>SUM($E10:O10)</f>
        <v>446</v>
      </c>
      <c r="P11" s="116">
        <f>SUM($E10:P10)</f>
        <v>501</v>
      </c>
      <c r="Q11" s="113">
        <f>HLOOKUP(Q$1,$D$2:$P$44,ROW(D11)-1,0)</f>
        <v>126</v>
      </c>
      <c r="R11" s="113">
        <f>HLOOKUP(R$1,$D$2:$P$44,ROW(E11)-1,0)</f>
        <v>258</v>
      </c>
      <c r="S11" s="113">
        <f>HLOOKUP(S$1,$D$2:$P$44,ROW(F11)-1,0)</f>
        <v>365</v>
      </c>
      <c r="T11" s="113">
        <f>HLOOKUP(T$1,$D$2:$P$44,ROW(G11)-1,0)</f>
        <v>501</v>
      </c>
      <c r="U11" s="113">
        <f>R11</f>
        <v>258</v>
      </c>
      <c r="V11" s="113">
        <f>T11</f>
        <v>501</v>
      </c>
      <c r="W11" s="114">
        <f>W10</f>
        <v>501</v>
      </c>
    </row>
    <row r="12" spans="1:23" x14ac:dyDescent="0.25">
      <c r="A12" s="10" t="s">
        <v>10</v>
      </c>
      <c r="B12" s="13" t="s">
        <v>15</v>
      </c>
      <c r="C12" s="11">
        <v>2</v>
      </c>
      <c r="D12" s="25" t="s">
        <v>125</v>
      </c>
      <c r="E12" s="108">
        <v>8282</v>
      </c>
      <c r="F12" s="108">
        <v>9827</v>
      </c>
      <c r="G12" s="108">
        <v>8164</v>
      </c>
      <c r="H12" s="108">
        <v>10264</v>
      </c>
      <c r="I12" s="108">
        <v>9852</v>
      </c>
      <c r="J12" s="108">
        <v>10068</v>
      </c>
      <c r="K12" s="108">
        <v>10127</v>
      </c>
      <c r="L12" s="108">
        <v>10284</v>
      </c>
      <c r="M12" s="108">
        <v>9954</v>
      </c>
      <c r="N12" s="108">
        <v>8639</v>
      </c>
      <c r="O12" s="108">
        <v>9248</v>
      </c>
      <c r="P12" s="108">
        <v>10209</v>
      </c>
      <c r="Q12" s="111">
        <f>SUM(E12:G12)</f>
        <v>26273</v>
      </c>
      <c r="R12" s="111">
        <f>SUM(H12:J12)</f>
        <v>30184</v>
      </c>
      <c r="S12" s="111">
        <f>SUM(K12:M12)</f>
        <v>30365</v>
      </c>
      <c r="T12" s="111">
        <f>SUM(N12:P12)</f>
        <v>28096</v>
      </c>
      <c r="U12" s="111">
        <f>SUM(E12:J12)</f>
        <v>56457</v>
      </c>
      <c r="V12" s="111">
        <f>SUM(K12:P12)</f>
        <v>58461</v>
      </c>
      <c r="W12" s="112">
        <f>SUM(E12:P12)</f>
        <v>114918</v>
      </c>
    </row>
    <row r="13" spans="1:23" x14ac:dyDescent="0.25">
      <c r="A13" s="10"/>
      <c r="B13" s="13"/>
      <c r="C13" s="11"/>
      <c r="D13" s="81" t="s">
        <v>140</v>
      </c>
      <c r="E13" s="144">
        <f>AVERAGE($E12:E12)</f>
        <v>8282</v>
      </c>
      <c r="F13" s="144">
        <f>AVERAGE($E12:F12)</f>
        <v>9054.5</v>
      </c>
      <c r="G13" s="144">
        <f>AVERAGE($E12:G12)</f>
        <v>8757.6666666666661</v>
      </c>
      <c r="H13" s="144">
        <f>AVERAGE($E12:H12)</f>
        <v>9134.25</v>
      </c>
      <c r="I13" s="144">
        <f>AVERAGE($E12:I12)</f>
        <v>9277.7999999999993</v>
      </c>
      <c r="J13" s="144">
        <f>AVERAGE($E12:J12)</f>
        <v>9409.5</v>
      </c>
      <c r="K13" s="144">
        <f>AVERAGE($E12:K12)</f>
        <v>9512</v>
      </c>
      <c r="L13" s="144">
        <f>AVERAGE($E12:L12)</f>
        <v>9608.5</v>
      </c>
      <c r="M13" s="144">
        <f>AVERAGE($E12:M12)</f>
        <v>9646.8888888888887</v>
      </c>
      <c r="N13" s="144">
        <f>AVERAGE($E12:N12)</f>
        <v>9546.1</v>
      </c>
      <c r="O13" s="144">
        <f>AVERAGE($E12:O12)</f>
        <v>9519</v>
      </c>
      <c r="P13" s="144">
        <f>AVERAGE($E12:P12)</f>
        <v>9576.5</v>
      </c>
      <c r="Q13" s="113">
        <f>HLOOKUP(Q$1,$D$2:$P$44,ROW(D13)-1,0)</f>
        <v>8757.6666666666661</v>
      </c>
      <c r="R13" s="113">
        <f>HLOOKUP(R$1,$D$2:$P$44,ROW(E13)-1,0)</f>
        <v>9409.5</v>
      </c>
      <c r="S13" s="113">
        <f>HLOOKUP(S$1,$D$2:$P$44,ROW(F13)-1,0)</f>
        <v>9646.8888888888887</v>
      </c>
      <c r="T13" s="113">
        <f>HLOOKUP(T$1,$D$2:$P$44,ROW(G13)-1,0)</f>
        <v>9576.5</v>
      </c>
      <c r="U13" s="113">
        <f>R13</f>
        <v>9409.5</v>
      </c>
      <c r="V13" s="113">
        <f>T13</f>
        <v>9576.5</v>
      </c>
      <c r="W13" s="114">
        <f>W12</f>
        <v>114918</v>
      </c>
    </row>
    <row r="14" spans="1:23" x14ac:dyDescent="0.25">
      <c r="A14" s="10"/>
      <c r="B14" s="13"/>
      <c r="C14" s="11"/>
      <c r="D14" s="143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3"/>
      <c r="R14" s="113"/>
      <c r="S14" s="113"/>
      <c r="T14" s="113"/>
      <c r="U14" s="113"/>
      <c r="V14" s="113"/>
      <c r="W14" s="114"/>
    </row>
    <row r="15" spans="1:23" x14ac:dyDescent="0.25">
      <c r="A15" s="10"/>
      <c r="B15" s="13"/>
      <c r="C15" s="11"/>
      <c r="D15" s="25" t="s">
        <v>96</v>
      </c>
      <c r="E15" s="117" t="b">
        <f>SUM(E16:E24)=E4</f>
        <v>1</v>
      </c>
      <c r="F15" s="117" t="b">
        <f t="shared" ref="F15:P15" si="2">SUM(F16:F24)=F4</f>
        <v>1</v>
      </c>
      <c r="G15" s="117" t="b">
        <f t="shared" si="2"/>
        <v>1</v>
      </c>
      <c r="H15" s="117" t="b">
        <f t="shared" si="2"/>
        <v>1</v>
      </c>
      <c r="I15" s="117" t="b">
        <f t="shared" si="2"/>
        <v>1</v>
      </c>
      <c r="J15" s="117" t="b">
        <f t="shared" si="2"/>
        <v>1</v>
      </c>
      <c r="K15" s="117" t="b">
        <f t="shared" si="2"/>
        <v>1</v>
      </c>
      <c r="L15" s="117" t="b">
        <f t="shared" si="2"/>
        <v>1</v>
      </c>
      <c r="M15" s="117" t="b">
        <f t="shared" si="2"/>
        <v>1</v>
      </c>
      <c r="N15" s="117" t="b">
        <f t="shared" si="2"/>
        <v>1</v>
      </c>
      <c r="O15" s="117" t="b">
        <f t="shared" si="2"/>
        <v>1</v>
      </c>
      <c r="P15" s="117" t="b">
        <f t="shared" si="2"/>
        <v>1</v>
      </c>
      <c r="Q15" s="42"/>
      <c r="R15" s="42"/>
      <c r="S15" s="42"/>
      <c r="T15" s="42"/>
      <c r="U15" s="42"/>
      <c r="V15" s="42"/>
      <c r="W15" s="104"/>
    </row>
    <row r="16" spans="1:23" x14ac:dyDescent="0.25">
      <c r="A16" s="10"/>
      <c r="B16" s="13"/>
      <c r="C16" s="11"/>
      <c r="D16" s="125" t="s">
        <v>97</v>
      </c>
      <c r="E16" s="117">
        <v>661</v>
      </c>
      <c r="F16" s="117">
        <v>308</v>
      </c>
      <c r="G16" s="117">
        <v>314</v>
      </c>
      <c r="H16" s="117">
        <v>286</v>
      </c>
      <c r="I16" s="117">
        <v>217</v>
      </c>
      <c r="J16" s="117">
        <v>626</v>
      </c>
      <c r="K16" s="117">
        <v>206</v>
      </c>
      <c r="L16" s="117">
        <v>287</v>
      </c>
      <c r="M16" s="117">
        <v>121</v>
      </c>
      <c r="N16" s="117">
        <v>845</v>
      </c>
      <c r="O16" s="117">
        <v>209</v>
      </c>
      <c r="P16" s="117">
        <v>337</v>
      </c>
      <c r="Q16" s="111">
        <f>SUM($E$16:G16)</f>
        <v>1283</v>
      </c>
      <c r="R16" s="111">
        <f>SUM($E$16:J16)</f>
        <v>2412</v>
      </c>
      <c r="S16" s="111">
        <f>SUM($E$16:M16)</f>
        <v>3026</v>
      </c>
      <c r="T16" s="111">
        <f>SUM($E$16:P16)</f>
        <v>4417</v>
      </c>
      <c r="U16" s="113">
        <f>R16</f>
        <v>2412</v>
      </c>
      <c r="V16" s="113">
        <f>T16</f>
        <v>4417</v>
      </c>
      <c r="W16" s="112">
        <f t="shared" ref="W16:W24" si="3">SUM(E16:P16)</f>
        <v>4417</v>
      </c>
    </row>
    <row r="17" spans="1:23" x14ac:dyDescent="0.25">
      <c r="A17" s="10"/>
      <c r="B17" s="13"/>
      <c r="C17" s="11"/>
      <c r="D17" s="125" t="s">
        <v>98</v>
      </c>
      <c r="E17" s="117">
        <v>182</v>
      </c>
      <c r="F17" s="117">
        <v>192</v>
      </c>
      <c r="G17" s="117">
        <v>209</v>
      </c>
      <c r="H17" s="117">
        <v>292</v>
      </c>
      <c r="I17" s="117">
        <v>247</v>
      </c>
      <c r="J17" s="117">
        <v>450</v>
      </c>
      <c r="K17" s="117">
        <v>183</v>
      </c>
      <c r="L17" s="117">
        <v>233</v>
      </c>
      <c r="M17" s="117">
        <v>366</v>
      </c>
      <c r="N17" s="117">
        <v>308</v>
      </c>
      <c r="O17" s="117">
        <v>192</v>
      </c>
      <c r="P17" s="117">
        <v>260</v>
      </c>
      <c r="Q17" s="111">
        <f t="shared" ref="Q17:Q24" si="4">SUM(E17:G17)</f>
        <v>583</v>
      </c>
      <c r="R17" s="111">
        <f t="shared" ref="R17:R24" si="5">SUM(H17:J17)</f>
        <v>989</v>
      </c>
      <c r="S17" s="111">
        <f t="shared" ref="S17:S24" si="6">SUM(K17:M17)</f>
        <v>782</v>
      </c>
      <c r="T17" s="111">
        <f t="shared" ref="T17:T24" si="7">SUM(N17:P17)</f>
        <v>760</v>
      </c>
      <c r="U17" s="111">
        <f t="shared" ref="U17:U24" si="8">SUM(E17:J17)</f>
        <v>1572</v>
      </c>
      <c r="V17" s="111">
        <f t="shared" ref="V17:V24" si="9">SUM(K17:P17)</f>
        <v>1542</v>
      </c>
      <c r="W17" s="112">
        <f t="shared" si="3"/>
        <v>3114</v>
      </c>
    </row>
    <row r="18" spans="1:23" x14ac:dyDescent="0.25">
      <c r="A18" s="10"/>
      <c r="B18" s="13"/>
      <c r="C18" s="11"/>
      <c r="D18" s="125" t="s">
        <v>99</v>
      </c>
      <c r="E18" s="117">
        <v>97</v>
      </c>
      <c r="F18" s="117">
        <v>151</v>
      </c>
      <c r="G18" s="117">
        <v>275</v>
      </c>
      <c r="H18" s="117">
        <v>175</v>
      </c>
      <c r="I18" s="117">
        <v>260</v>
      </c>
      <c r="J18" s="117">
        <v>230</v>
      </c>
      <c r="K18" s="117">
        <v>115</v>
      </c>
      <c r="L18" s="117">
        <v>186</v>
      </c>
      <c r="M18" s="117">
        <v>161</v>
      </c>
      <c r="N18" s="117">
        <v>88</v>
      </c>
      <c r="O18" s="117">
        <v>150</v>
      </c>
      <c r="P18" s="117">
        <v>91</v>
      </c>
      <c r="Q18" s="111">
        <f t="shared" si="4"/>
        <v>523</v>
      </c>
      <c r="R18" s="111">
        <f t="shared" si="5"/>
        <v>665</v>
      </c>
      <c r="S18" s="111">
        <f t="shared" si="6"/>
        <v>462</v>
      </c>
      <c r="T18" s="111">
        <f t="shared" si="7"/>
        <v>329</v>
      </c>
      <c r="U18" s="111">
        <f t="shared" si="8"/>
        <v>1188</v>
      </c>
      <c r="V18" s="111">
        <f t="shared" si="9"/>
        <v>791</v>
      </c>
      <c r="W18" s="112">
        <f t="shared" si="3"/>
        <v>1979</v>
      </c>
    </row>
    <row r="19" spans="1:23" x14ac:dyDescent="0.25">
      <c r="A19" s="10"/>
      <c r="B19" s="13"/>
      <c r="C19" s="11"/>
      <c r="D19" s="125" t="s">
        <v>100</v>
      </c>
      <c r="E19" s="117">
        <v>225</v>
      </c>
      <c r="F19" s="117">
        <v>73</v>
      </c>
      <c r="G19" s="117">
        <v>125</v>
      </c>
      <c r="H19" s="117">
        <v>203</v>
      </c>
      <c r="I19" s="117">
        <v>66</v>
      </c>
      <c r="J19" s="117">
        <v>106</v>
      </c>
      <c r="K19" s="117">
        <v>174</v>
      </c>
      <c r="L19" s="117">
        <v>77</v>
      </c>
      <c r="M19" s="117">
        <v>127</v>
      </c>
      <c r="N19" s="117">
        <v>125</v>
      </c>
      <c r="O19" s="117">
        <v>140</v>
      </c>
      <c r="P19" s="117">
        <v>143</v>
      </c>
      <c r="Q19" s="111">
        <f t="shared" si="4"/>
        <v>423</v>
      </c>
      <c r="R19" s="111">
        <f t="shared" si="5"/>
        <v>375</v>
      </c>
      <c r="S19" s="111">
        <f t="shared" si="6"/>
        <v>378</v>
      </c>
      <c r="T19" s="111">
        <f t="shared" si="7"/>
        <v>408</v>
      </c>
      <c r="U19" s="111">
        <f t="shared" si="8"/>
        <v>798</v>
      </c>
      <c r="V19" s="111">
        <f t="shared" si="9"/>
        <v>786</v>
      </c>
      <c r="W19" s="112">
        <f t="shared" si="3"/>
        <v>1584</v>
      </c>
    </row>
    <row r="20" spans="1:23" x14ac:dyDescent="0.25">
      <c r="A20" s="10"/>
      <c r="B20" s="13"/>
      <c r="C20" s="11"/>
      <c r="D20" s="25" t="s">
        <v>101</v>
      </c>
      <c r="E20" s="117">
        <v>212</v>
      </c>
      <c r="F20" s="117">
        <v>88</v>
      </c>
      <c r="G20" s="117">
        <v>84</v>
      </c>
      <c r="H20" s="117">
        <v>81</v>
      </c>
      <c r="I20" s="117">
        <v>56</v>
      </c>
      <c r="J20" s="117">
        <v>172</v>
      </c>
      <c r="K20" s="117">
        <v>129</v>
      </c>
      <c r="L20" s="117">
        <v>114</v>
      </c>
      <c r="M20" s="117">
        <v>112</v>
      </c>
      <c r="N20" s="117">
        <v>206</v>
      </c>
      <c r="O20" s="117">
        <v>158</v>
      </c>
      <c r="P20" s="117">
        <v>111</v>
      </c>
      <c r="Q20" s="111">
        <f t="shared" si="4"/>
        <v>384</v>
      </c>
      <c r="R20" s="111">
        <f t="shared" si="5"/>
        <v>309</v>
      </c>
      <c r="S20" s="111">
        <f t="shared" si="6"/>
        <v>355</v>
      </c>
      <c r="T20" s="111">
        <f t="shared" si="7"/>
        <v>475</v>
      </c>
      <c r="U20" s="111">
        <f t="shared" si="8"/>
        <v>693</v>
      </c>
      <c r="V20" s="111">
        <f t="shared" si="9"/>
        <v>830</v>
      </c>
      <c r="W20" s="112">
        <f t="shared" si="3"/>
        <v>1523</v>
      </c>
    </row>
    <row r="21" spans="1:23" x14ac:dyDescent="0.25">
      <c r="A21" s="10"/>
      <c r="B21" s="13"/>
      <c r="C21" s="11"/>
      <c r="D21" s="25" t="s">
        <v>102</v>
      </c>
      <c r="E21" s="117">
        <v>197</v>
      </c>
      <c r="F21" s="117">
        <v>55</v>
      </c>
      <c r="G21" s="117">
        <v>73</v>
      </c>
      <c r="H21" s="117">
        <v>68</v>
      </c>
      <c r="I21" s="117">
        <v>56</v>
      </c>
      <c r="J21" s="117">
        <v>113</v>
      </c>
      <c r="K21" s="117">
        <v>127</v>
      </c>
      <c r="L21" s="117">
        <v>73</v>
      </c>
      <c r="M21" s="117">
        <v>189</v>
      </c>
      <c r="N21" s="117">
        <v>93</v>
      </c>
      <c r="O21" s="117">
        <v>215</v>
      </c>
      <c r="P21" s="117">
        <v>92</v>
      </c>
      <c r="Q21" s="111">
        <f t="shared" si="4"/>
        <v>325</v>
      </c>
      <c r="R21" s="111">
        <f t="shared" si="5"/>
        <v>237</v>
      </c>
      <c r="S21" s="111">
        <f t="shared" si="6"/>
        <v>389</v>
      </c>
      <c r="T21" s="111">
        <f t="shared" si="7"/>
        <v>400</v>
      </c>
      <c r="U21" s="111">
        <f t="shared" si="8"/>
        <v>562</v>
      </c>
      <c r="V21" s="111">
        <f t="shared" si="9"/>
        <v>789</v>
      </c>
      <c r="W21" s="112">
        <f t="shared" si="3"/>
        <v>1351</v>
      </c>
    </row>
    <row r="22" spans="1:23" x14ac:dyDescent="0.25">
      <c r="A22" s="10"/>
      <c r="B22" s="13"/>
      <c r="C22" s="11"/>
      <c r="D22" s="25" t="s">
        <v>103</v>
      </c>
      <c r="E22" s="117">
        <v>69</v>
      </c>
      <c r="F22" s="117">
        <v>93</v>
      </c>
      <c r="G22" s="117">
        <v>159</v>
      </c>
      <c r="H22" s="117">
        <v>62</v>
      </c>
      <c r="I22" s="117">
        <v>59</v>
      </c>
      <c r="J22" s="117">
        <v>60</v>
      </c>
      <c r="K22" s="117">
        <v>142</v>
      </c>
      <c r="L22" s="117">
        <v>163</v>
      </c>
      <c r="M22" s="117">
        <v>214</v>
      </c>
      <c r="N22" s="117">
        <v>196</v>
      </c>
      <c r="O22" s="117">
        <v>144</v>
      </c>
      <c r="P22" s="117">
        <v>55</v>
      </c>
      <c r="Q22" s="111">
        <f t="shared" si="4"/>
        <v>321</v>
      </c>
      <c r="R22" s="111">
        <f t="shared" si="5"/>
        <v>181</v>
      </c>
      <c r="S22" s="111">
        <f t="shared" si="6"/>
        <v>519</v>
      </c>
      <c r="T22" s="111">
        <f t="shared" si="7"/>
        <v>395</v>
      </c>
      <c r="U22" s="111">
        <f t="shared" si="8"/>
        <v>502</v>
      </c>
      <c r="V22" s="111">
        <f t="shared" si="9"/>
        <v>914</v>
      </c>
      <c r="W22" s="112">
        <f t="shared" si="3"/>
        <v>1416</v>
      </c>
    </row>
    <row r="23" spans="1:23" x14ac:dyDescent="0.25">
      <c r="A23" s="10"/>
      <c r="B23" s="13"/>
      <c r="C23" s="11"/>
      <c r="D23" s="25" t="s">
        <v>104</v>
      </c>
      <c r="E23" s="117">
        <v>61</v>
      </c>
      <c r="F23" s="117">
        <v>175</v>
      </c>
      <c r="G23" s="117">
        <v>92</v>
      </c>
      <c r="H23" s="117">
        <v>107</v>
      </c>
      <c r="I23" s="117">
        <v>185</v>
      </c>
      <c r="J23" s="117">
        <v>60</v>
      </c>
      <c r="K23" s="117">
        <v>196</v>
      </c>
      <c r="L23" s="117">
        <v>70</v>
      </c>
      <c r="M23" s="117">
        <v>63</v>
      </c>
      <c r="N23" s="117">
        <v>67</v>
      </c>
      <c r="O23" s="117">
        <v>125</v>
      </c>
      <c r="P23" s="117">
        <v>83</v>
      </c>
      <c r="Q23" s="111">
        <f t="shared" si="4"/>
        <v>328</v>
      </c>
      <c r="R23" s="111">
        <f t="shared" si="5"/>
        <v>352</v>
      </c>
      <c r="S23" s="111">
        <f t="shared" si="6"/>
        <v>329</v>
      </c>
      <c r="T23" s="111">
        <f t="shared" si="7"/>
        <v>275</v>
      </c>
      <c r="U23" s="111">
        <f t="shared" si="8"/>
        <v>680</v>
      </c>
      <c r="V23" s="111">
        <f t="shared" si="9"/>
        <v>604</v>
      </c>
      <c r="W23" s="112">
        <f t="shared" si="3"/>
        <v>1284</v>
      </c>
    </row>
    <row r="24" spans="1:23" x14ac:dyDescent="0.25">
      <c r="A24" s="10"/>
      <c r="B24" s="13"/>
      <c r="C24" s="11"/>
      <c r="D24" s="25" t="s">
        <v>105</v>
      </c>
      <c r="E24" s="117">
        <v>96</v>
      </c>
      <c r="F24" s="117">
        <v>73</v>
      </c>
      <c r="G24" s="117">
        <v>92</v>
      </c>
      <c r="H24" s="117">
        <v>95</v>
      </c>
      <c r="I24" s="117">
        <v>72</v>
      </c>
      <c r="J24" s="117">
        <v>83</v>
      </c>
      <c r="K24" s="117">
        <v>78</v>
      </c>
      <c r="L24" s="117">
        <v>87</v>
      </c>
      <c r="M24" s="117">
        <v>40</v>
      </c>
      <c r="N24" s="117">
        <v>72</v>
      </c>
      <c r="O24" s="117">
        <v>70</v>
      </c>
      <c r="P24" s="117">
        <v>90</v>
      </c>
      <c r="Q24" s="111">
        <f t="shared" si="4"/>
        <v>261</v>
      </c>
      <c r="R24" s="111">
        <f t="shared" si="5"/>
        <v>250</v>
      </c>
      <c r="S24" s="111">
        <f t="shared" si="6"/>
        <v>205</v>
      </c>
      <c r="T24" s="111">
        <f t="shared" si="7"/>
        <v>232</v>
      </c>
      <c r="U24" s="111">
        <f t="shared" si="8"/>
        <v>511</v>
      </c>
      <c r="V24" s="111">
        <f t="shared" si="9"/>
        <v>437</v>
      </c>
      <c r="W24" s="112">
        <f t="shared" si="3"/>
        <v>948</v>
      </c>
    </row>
    <row r="25" spans="1:23" x14ac:dyDescent="0.25">
      <c r="A25" s="10"/>
      <c r="B25" s="13"/>
      <c r="C25" s="11"/>
      <c r="D25" s="153" t="s">
        <v>106</v>
      </c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11"/>
      <c r="R25" s="111"/>
      <c r="S25" s="111"/>
      <c r="T25" s="111"/>
      <c r="U25" s="111"/>
      <c r="V25" s="111"/>
      <c r="W25" s="112"/>
    </row>
    <row r="26" spans="1:23" x14ac:dyDescent="0.25">
      <c r="A26" s="10"/>
      <c r="B26" s="13"/>
      <c r="C26" s="11"/>
      <c r="D26" s="155" t="str">
        <f t="shared" ref="D26:D34" si="10">D16</f>
        <v>&lt;50</v>
      </c>
      <c r="E26" s="154">
        <f>SUM($E$16:E16)</f>
        <v>661</v>
      </c>
      <c r="F26" s="154">
        <f>SUM($E$16:F16)</f>
        <v>969</v>
      </c>
      <c r="G26" s="154">
        <f>SUM($E$16:G16)</f>
        <v>1283</v>
      </c>
      <c r="H26" s="154">
        <f>SUM($E$16:H16)</f>
        <v>1569</v>
      </c>
      <c r="I26" s="154">
        <f>SUM($E$16:I16)</f>
        <v>1786</v>
      </c>
      <c r="J26" s="154">
        <f>SUM($E$16:J16)</f>
        <v>2412</v>
      </c>
      <c r="K26" s="154">
        <f>SUM($E$16:K16)</f>
        <v>2618</v>
      </c>
      <c r="L26" s="154">
        <f>SUM($E$16:L16)</f>
        <v>2905</v>
      </c>
      <c r="M26" s="154">
        <f>SUM($E$16:M16)</f>
        <v>3026</v>
      </c>
      <c r="N26" s="154">
        <f>SUM($E$16:N16)</f>
        <v>3871</v>
      </c>
      <c r="O26" s="154">
        <f>SUM($E$16:O16)</f>
        <v>4080</v>
      </c>
      <c r="P26" s="154">
        <f>SUM($E$16:P16)</f>
        <v>4417</v>
      </c>
      <c r="Q26" s="111">
        <f>SUM(Q$16:Q16)</f>
        <v>1283</v>
      </c>
      <c r="R26" s="111">
        <f>SUM(R$16:R16)</f>
        <v>2412</v>
      </c>
      <c r="S26" s="111">
        <f>SUM(S$16:S16)</f>
        <v>3026</v>
      </c>
      <c r="T26" s="111">
        <f>SUM(T$16:T16)</f>
        <v>4417</v>
      </c>
      <c r="U26" s="111">
        <f>SUM(U$16:U16)</f>
        <v>2412</v>
      </c>
      <c r="V26" s="111">
        <f>SUM(V$16:V16)</f>
        <v>4417</v>
      </c>
      <c r="W26" s="112">
        <f>SUM(W$16:W16)</f>
        <v>4417</v>
      </c>
    </row>
    <row r="27" spans="1:23" x14ac:dyDescent="0.25">
      <c r="A27" s="10"/>
      <c r="B27" s="13"/>
      <c r="C27" s="11"/>
      <c r="D27" s="155" t="str">
        <f t="shared" si="10"/>
        <v>&lt;100</v>
      </c>
      <c r="E27" s="154">
        <f>SUM($E$16:E17)</f>
        <v>843</v>
      </c>
      <c r="F27" s="154">
        <f>SUM($E$16:F17)</f>
        <v>1343</v>
      </c>
      <c r="G27" s="154">
        <f>SUM($E$16:G17)</f>
        <v>1866</v>
      </c>
      <c r="H27" s="154">
        <f>SUM($E$16:H17)</f>
        <v>2444</v>
      </c>
      <c r="I27" s="154">
        <f>SUM($E$16:I17)</f>
        <v>2908</v>
      </c>
      <c r="J27" s="154">
        <f>SUM($E$16:J17)</f>
        <v>3984</v>
      </c>
      <c r="K27" s="154">
        <f>SUM($E$16:K17)</f>
        <v>4373</v>
      </c>
      <c r="L27" s="154">
        <f>SUM($E$16:L17)</f>
        <v>4893</v>
      </c>
      <c r="M27" s="154">
        <f>SUM($E$16:M17)</f>
        <v>5380</v>
      </c>
      <c r="N27" s="154">
        <f>SUM($E$16:N17)</f>
        <v>6533</v>
      </c>
      <c r="O27" s="154">
        <f>SUM($E$16:O17)</f>
        <v>6934</v>
      </c>
      <c r="P27" s="154">
        <f>SUM($E$16:P17)</f>
        <v>7531</v>
      </c>
      <c r="Q27" s="111">
        <f>SUM(Q$16:Q17)</f>
        <v>1866</v>
      </c>
      <c r="R27" s="111">
        <f>SUM(R$16:R17)</f>
        <v>3401</v>
      </c>
      <c r="S27" s="111">
        <f>SUM(S$16:S17)</f>
        <v>3808</v>
      </c>
      <c r="T27" s="111">
        <f>SUM(T$16:T17)</f>
        <v>5177</v>
      </c>
      <c r="U27" s="111">
        <f>SUM(U$16:U17)</f>
        <v>3984</v>
      </c>
      <c r="V27" s="111">
        <f>SUM(V$16:V17)</f>
        <v>5959</v>
      </c>
      <c r="W27" s="112">
        <f>SUM(W$16:W17)</f>
        <v>7531</v>
      </c>
    </row>
    <row r="28" spans="1:23" x14ac:dyDescent="0.25">
      <c r="A28" s="10"/>
      <c r="B28" s="13"/>
      <c r="C28" s="11"/>
      <c r="D28" s="155" t="str">
        <f t="shared" si="10"/>
        <v>&lt;200</v>
      </c>
      <c r="E28" s="154">
        <f>SUM($E$16:E18)</f>
        <v>940</v>
      </c>
      <c r="F28" s="154">
        <f>SUM($E$16:F18)</f>
        <v>1591</v>
      </c>
      <c r="G28" s="154">
        <f>SUM($E$16:G18)</f>
        <v>2389</v>
      </c>
      <c r="H28" s="154">
        <f>SUM($E$16:H18)</f>
        <v>3142</v>
      </c>
      <c r="I28" s="154">
        <f>SUM($E$16:I18)</f>
        <v>3866</v>
      </c>
      <c r="J28" s="154">
        <f>SUM($E$16:J18)</f>
        <v>5172</v>
      </c>
      <c r="K28" s="154">
        <f>SUM($E$16:K18)</f>
        <v>5676</v>
      </c>
      <c r="L28" s="154">
        <f>SUM($E$16:L18)</f>
        <v>6382</v>
      </c>
      <c r="M28" s="154">
        <f>SUM($E$16:M18)</f>
        <v>7030</v>
      </c>
      <c r="N28" s="154">
        <f>SUM($E$16:N18)</f>
        <v>8271</v>
      </c>
      <c r="O28" s="154">
        <f>SUM($E$16:O18)</f>
        <v>8822</v>
      </c>
      <c r="P28" s="154">
        <f>SUM($E$16:P18)</f>
        <v>9510</v>
      </c>
      <c r="Q28" s="111">
        <f>SUM(Q$16:Q18)</f>
        <v>2389</v>
      </c>
      <c r="R28" s="111">
        <f>SUM(R$16:R18)</f>
        <v>4066</v>
      </c>
      <c r="S28" s="111">
        <f>SUM(S$16:S18)</f>
        <v>4270</v>
      </c>
      <c r="T28" s="111">
        <f>SUM(T$16:T18)</f>
        <v>5506</v>
      </c>
      <c r="U28" s="111">
        <f>SUM(U$16:U18)</f>
        <v>5172</v>
      </c>
      <c r="V28" s="111">
        <f>SUM(V$16:V18)</f>
        <v>6750</v>
      </c>
      <c r="W28" s="112">
        <f>SUM(W$16:W18)</f>
        <v>9510</v>
      </c>
    </row>
    <row r="29" spans="1:23" x14ac:dyDescent="0.25">
      <c r="A29" s="10"/>
      <c r="B29" s="13"/>
      <c r="C29" s="11"/>
      <c r="D29" s="155" t="str">
        <f t="shared" si="10"/>
        <v>&lt;500</v>
      </c>
      <c r="E29" s="154">
        <f>SUM($E$16:E19)</f>
        <v>1165</v>
      </c>
      <c r="F29" s="154">
        <f>SUM($E$16:F19)</f>
        <v>1889</v>
      </c>
      <c r="G29" s="154">
        <f>SUM($E$16:G19)</f>
        <v>2812</v>
      </c>
      <c r="H29" s="154">
        <f>SUM($E$16:H19)</f>
        <v>3768</v>
      </c>
      <c r="I29" s="154">
        <f>SUM($E$16:I19)</f>
        <v>4558</v>
      </c>
      <c r="J29" s="154">
        <f>SUM($E$16:J19)</f>
        <v>5970</v>
      </c>
      <c r="K29" s="154">
        <f>SUM($E$16:K19)</f>
        <v>6648</v>
      </c>
      <c r="L29" s="154">
        <f>SUM($E$16:L19)</f>
        <v>7431</v>
      </c>
      <c r="M29" s="154">
        <f>SUM($E$16:M19)</f>
        <v>8206</v>
      </c>
      <c r="N29" s="154">
        <f>SUM($E$16:N19)</f>
        <v>9572</v>
      </c>
      <c r="O29" s="154">
        <f>SUM($E$16:O19)</f>
        <v>10263</v>
      </c>
      <c r="P29" s="154">
        <f>SUM($E$16:P19)</f>
        <v>11094</v>
      </c>
      <c r="Q29" s="111">
        <f>SUM(Q$16:Q19)</f>
        <v>2812</v>
      </c>
      <c r="R29" s="111">
        <f>SUM(R$16:R19)</f>
        <v>4441</v>
      </c>
      <c r="S29" s="111">
        <f>SUM(S$16:S19)</f>
        <v>4648</v>
      </c>
      <c r="T29" s="111">
        <f>SUM(T$16:T19)</f>
        <v>5914</v>
      </c>
      <c r="U29" s="111">
        <f>SUM(U$16:U19)</f>
        <v>5970</v>
      </c>
      <c r="V29" s="111">
        <f>SUM(V$16:V19)</f>
        <v>7536</v>
      </c>
      <c r="W29" s="112">
        <f>SUM(W$16:W19)</f>
        <v>11094</v>
      </c>
    </row>
    <row r="30" spans="1:23" x14ac:dyDescent="0.25">
      <c r="A30" s="10"/>
      <c r="B30" s="13"/>
      <c r="C30" s="11"/>
      <c r="D30" s="155" t="str">
        <f t="shared" si="10"/>
        <v>&lt;1k€</v>
      </c>
      <c r="E30" s="154">
        <f>SUM($E$16:E20)</f>
        <v>1377</v>
      </c>
      <c r="F30" s="154">
        <f>SUM($E$16:F20)</f>
        <v>2189</v>
      </c>
      <c r="G30" s="154">
        <f>SUM($E$16:G20)</f>
        <v>3196</v>
      </c>
      <c r="H30" s="154">
        <f>SUM($E$16:H20)</f>
        <v>4233</v>
      </c>
      <c r="I30" s="154">
        <f>SUM($E$16:I20)</f>
        <v>5079</v>
      </c>
      <c r="J30" s="154">
        <f>SUM($E$16:J20)</f>
        <v>6663</v>
      </c>
      <c r="K30" s="154">
        <f>SUM($E$16:K20)</f>
        <v>7470</v>
      </c>
      <c r="L30" s="154">
        <f>SUM($E$16:L20)</f>
        <v>8367</v>
      </c>
      <c r="M30" s="154">
        <f>SUM($E$16:M20)</f>
        <v>9254</v>
      </c>
      <c r="N30" s="154">
        <f>SUM($E$16:N20)</f>
        <v>10826</v>
      </c>
      <c r="O30" s="154">
        <f>SUM($E$16:O20)</f>
        <v>11675</v>
      </c>
      <c r="P30" s="154">
        <f>SUM($E$16:P20)</f>
        <v>12617</v>
      </c>
      <c r="Q30" s="111">
        <f>SUM(Q$16:Q20)</f>
        <v>3196</v>
      </c>
      <c r="R30" s="111">
        <f>SUM(R$16:R20)</f>
        <v>4750</v>
      </c>
      <c r="S30" s="111">
        <f>SUM(S$16:S20)</f>
        <v>5003</v>
      </c>
      <c r="T30" s="111">
        <f>SUM(T$16:T20)</f>
        <v>6389</v>
      </c>
      <c r="U30" s="111">
        <f>SUM(U$16:U20)</f>
        <v>6663</v>
      </c>
      <c r="V30" s="111">
        <f>SUM(V$16:V20)</f>
        <v>8366</v>
      </c>
      <c r="W30" s="112">
        <f>SUM(W$16:W20)</f>
        <v>12617</v>
      </c>
    </row>
    <row r="31" spans="1:23" x14ac:dyDescent="0.25">
      <c r="A31" s="10"/>
      <c r="B31" s="13"/>
      <c r="C31" s="11"/>
      <c r="D31" s="155" t="str">
        <f t="shared" si="10"/>
        <v>&lt;5k€</v>
      </c>
      <c r="E31" s="154">
        <f>SUM($E$16:E21)</f>
        <v>1574</v>
      </c>
      <c r="F31" s="154">
        <f>SUM($E$16:F21)</f>
        <v>2441</v>
      </c>
      <c r="G31" s="154">
        <f>SUM($E$16:G21)</f>
        <v>3521</v>
      </c>
      <c r="H31" s="154">
        <f>SUM($E$16:H21)</f>
        <v>4626</v>
      </c>
      <c r="I31" s="154">
        <f>SUM($E$16:I21)</f>
        <v>5528</v>
      </c>
      <c r="J31" s="154">
        <f>SUM($E$16:J21)</f>
        <v>7225</v>
      </c>
      <c r="K31" s="154">
        <f>SUM($E$16:K21)</f>
        <v>8159</v>
      </c>
      <c r="L31" s="154">
        <f>SUM($E$16:L21)</f>
        <v>9129</v>
      </c>
      <c r="M31" s="154">
        <f>SUM($E$16:M21)</f>
        <v>10205</v>
      </c>
      <c r="N31" s="154">
        <f>SUM($E$16:N21)</f>
        <v>11870</v>
      </c>
      <c r="O31" s="154">
        <f>SUM($E$16:O21)</f>
        <v>12934</v>
      </c>
      <c r="P31" s="154">
        <f>SUM($E$16:P21)</f>
        <v>13968</v>
      </c>
      <c r="Q31" s="111">
        <f>SUM(Q$16:Q21)</f>
        <v>3521</v>
      </c>
      <c r="R31" s="111">
        <f>SUM(R$16:R21)</f>
        <v>4987</v>
      </c>
      <c r="S31" s="111">
        <f>SUM(S$16:S21)</f>
        <v>5392</v>
      </c>
      <c r="T31" s="111">
        <f>SUM(T$16:T21)</f>
        <v>6789</v>
      </c>
      <c r="U31" s="111">
        <f>SUM(U$16:U21)</f>
        <v>7225</v>
      </c>
      <c r="V31" s="111">
        <f>SUM(V$16:V21)</f>
        <v>9155</v>
      </c>
      <c r="W31" s="112">
        <f>SUM(W$16:W21)</f>
        <v>13968</v>
      </c>
    </row>
    <row r="32" spans="1:23" x14ac:dyDescent="0.25">
      <c r="A32" s="10"/>
      <c r="B32" s="13"/>
      <c r="C32" s="11"/>
      <c r="D32" s="155" t="str">
        <f t="shared" si="10"/>
        <v>&lt;10k€</v>
      </c>
      <c r="E32" s="154">
        <f>SUM($E$16:E22)</f>
        <v>1643</v>
      </c>
      <c r="F32" s="154">
        <f>SUM($E$16:F22)</f>
        <v>2603</v>
      </c>
      <c r="G32" s="154">
        <f>SUM($E$16:G22)</f>
        <v>3842</v>
      </c>
      <c r="H32" s="154">
        <f>SUM($E$16:H22)</f>
        <v>5009</v>
      </c>
      <c r="I32" s="154">
        <f>SUM($E$16:I22)</f>
        <v>5970</v>
      </c>
      <c r="J32" s="154">
        <f>SUM($E$16:J22)</f>
        <v>7727</v>
      </c>
      <c r="K32" s="154">
        <f>SUM($E$16:K22)</f>
        <v>8803</v>
      </c>
      <c r="L32" s="154">
        <f>SUM($E$16:L22)</f>
        <v>9936</v>
      </c>
      <c r="M32" s="154">
        <f>SUM($E$16:M22)</f>
        <v>11226</v>
      </c>
      <c r="N32" s="154">
        <f>SUM($E$16:N22)</f>
        <v>13087</v>
      </c>
      <c r="O32" s="154">
        <f>SUM($E$16:O22)</f>
        <v>14295</v>
      </c>
      <c r="P32" s="154">
        <f>SUM($E$16:P22)</f>
        <v>15384</v>
      </c>
      <c r="Q32" s="111">
        <f>SUM(Q$16:Q22)</f>
        <v>3842</v>
      </c>
      <c r="R32" s="111">
        <f>SUM(R$16:R22)</f>
        <v>5168</v>
      </c>
      <c r="S32" s="111">
        <f>SUM(S$16:S22)</f>
        <v>5911</v>
      </c>
      <c r="T32" s="111">
        <f>SUM(T$16:T22)</f>
        <v>7184</v>
      </c>
      <c r="U32" s="111">
        <f>SUM(U$16:U22)</f>
        <v>7727</v>
      </c>
      <c r="V32" s="111">
        <f>SUM(V$16:V22)</f>
        <v>10069</v>
      </c>
      <c r="W32" s="112">
        <f>SUM(W$16:W22)</f>
        <v>15384</v>
      </c>
    </row>
    <row r="33" spans="1:23" x14ac:dyDescent="0.25">
      <c r="A33" s="10"/>
      <c r="B33" s="13"/>
      <c r="C33" s="11"/>
      <c r="D33" s="155" t="str">
        <f t="shared" si="10"/>
        <v>&lt;50k€</v>
      </c>
      <c r="E33" s="154">
        <f>SUM($E$16:E23)</f>
        <v>1704</v>
      </c>
      <c r="F33" s="154">
        <f>SUM($E$16:F23)</f>
        <v>2839</v>
      </c>
      <c r="G33" s="154">
        <f>SUM($E$16:G23)</f>
        <v>4170</v>
      </c>
      <c r="H33" s="154">
        <f>SUM($E$16:H23)</f>
        <v>5444</v>
      </c>
      <c r="I33" s="154">
        <f>SUM($E$16:I23)</f>
        <v>6590</v>
      </c>
      <c r="J33" s="154">
        <f>SUM($E$16:J23)</f>
        <v>8407</v>
      </c>
      <c r="K33" s="154">
        <f>SUM($E$16:K23)</f>
        <v>9679</v>
      </c>
      <c r="L33" s="154">
        <f>SUM($E$16:L23)</f>
        <v>10882</v>
      </c>
      <c r="M33" s="154">
        <f>SUM($E$16:M23)</f>
        <v>12235</v>
      </c>
      <c r="N33" s="154">
        <f>SUM($E$16:N23)</f>
        <v>14163</v>
      </c>
      <c r="O33" s="154">
        <f>SUM($E$16:O23)</f>
        <v>15496</v>
      </c>
      <c r="P33" s="154">
        <f>SUM($E$16:P23)</f>
        <v>16668</v>
      </c>
      <c r="Q33" s="111">
        <f>SUM(Q$16:Q23)</f>
        <v>4170</v>
      </c>
      <c r="R33" s="111">
        <f>SUM(R$16:R23)</f>
        <v>5520</v>
      </c>
      <c r="S33" s="111">
        <f>SUM(S$16:S23)</f>
        <v>6240</v>
      </c>
      <c r="T33" s="111">
        <f>SUM(T$16:T23)</f>
        <v>7459</v>
      </c>
      <c r="U33" s="111">
        <f>SUM(U$16:U23)</f>
        <v>8407</v>
      </c>
      <c r="V33" s="111">
        <f>SUM(V$16:V23)</f>
        <v>10673</v>
      </c>
      <c r="W33" s="112">
        <f>SUM(W$16:W23)</f>
        <v>16668</v>
      </c>
    </row>
    <row r="34" spans="1:23" x14ac:dyDescent="0.25">
      <c r="A34" s="10"/>
      <c r="B34" s="13"/>
      <c r="C34" s="11"/>
      <c r="D34" s="155" t="str">
        <f t="shared" si="10"/>
        <v>&gt;= 50k€</v>
      </c>
      <c r="E34" s="154">
        <f>E24</f>
        <v>96</v>
      </c>
      <c r="F34" s="154">
        <f t="shared" ref="F34:P34" si="11">F24</f>
        <v>73</v>
      </c>
      <c r="G34" s="154">
        <f t="shared" si="11"/>
        <v>92</v>
      </c>
      <c r="H34" s="154">
        <f t="shared" si="11"/>
        <v>95</v>
      </c>
      <c r="I34" s="154">
        <f t="shared" si="11"/>
        <v>72</v>
      </c>
      <c r="J34" s="154">
        <f t="shared" si="11"/>
        <v>83</v>
      </c>
      <c r="K34" s="154">
        <f t="shared" si="11"/>
        <v>78</v>
      </c>
      <c r="L34" s="154">
        <f t="shared" si="11"/>
        <v>87</v>
      </c>
      <c r="M34" s="154">
        <f t="shared" si="11"/>
        <v>40</v>
      </c>
      <c r="N34" s="154">
        <f t="shared" si="11"/>
        <v>72</v>
      </c>
      <c r="O34" s="154">
        <f t="shared" si="11"/>
        <v>70</v>
      </c>
      <c r="P34" s="154">
        <f t="shared" si="11"/>
        <v>90</v>
      </c>
      <c r="Q34" s="111">
        <f>SUM(Q$16:Q24)</f>
        <v>4431</v>
      </c>
      <c r="R34" s="111">
        <f>SUM(R$16:R24)</f>
        <v>5770</v>
      </c>
      <c r="S34" s="111">
        <f>SUM(S$16:S24)</f>
        <v>6445</v>
      </c>
      <c r="T34" s="111">
        <f>SUM(T$16:T24)</f>
        <v>7691</v>
      </c>
      <c r="U34" s="111">
        <f>SUM(U$16:U24)</f>
        <v>8918</v>
      </c>
      <c r="V34" s="111">
        <f>SUM(V$16:V24)</f>
        <v>11110</v>
      </c>
      <c r="W34" s="112">
        <f>SUM(W$16:W24)</f>
        <v>17616</v>
      </c>
    </row>
    <row r="35" spans="1:23" x14ac:dyDescent="0.25">
      <c r="A35" s="10"/>
      <c r="B35" s="13"/>
      <c r="C35" s="11"/>
      <c r="D35" s="153" t="s">
        <v>107</v>
      </c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11"/>
      <c r="R35" s="111"/>
      <c r="S35" s="111"/>
      <c r="T35" s="111"/>
      <c r="U35" s="111"/>
      <c r="V35" s="111"/>
      <c r="W35" s="112"/>
    </row>
    <row r="36" spans="1:23" x14ac:dyDescent="0.25">
      <c r="A36" s="10"/>
      <c r="B36" s="13"/>
      <c r="C36" s="11"/>
      <c r="D36" s="155" t="str">
        <f>D16</f>
        <v>&lt;50</v>
      </c>
      <c r="E36" s="156">
        <f>E26/SUM($E4:E$4)</f>
        <v>0.36722222222222223</v>
      </c>
      <c r="F36" s="156">
        <f t="shared" ref="F36:P36" si="12">F26/F$4</f>
        <v>0.80215231788079466</v>
      </c>
      <c r="G36" s="156">
        <f t="shared" si="12"/>
        <v>0.90161630358397749</v>
      </c>
      <c r="H36" s="156">
        <f t="shared" si="12"/>
        <v>1.1460920379839299</v>
      </c>
      <c r="I36" s="156">
        <f t="shared" si="12"/>
        <v>1.4663382594417078</v>
      </c>
      <c r="J36" s="156">
        <f t="shared" si="12"/>
        <v>1.2694736842105263</v>
      </c>
      <c r="K36" s="156">
        <f t="shared" si="12"/>
        <v>1.9392592592592592</v>
      </c>
      <c r="L36" s="156">
        <f t="shared" si="12"/>
        <v>2.251937984496124</v>
      </c>
      <c r="M36" s="156">
        <f t="shared" si="12"/>
        <v>2.1722900215362526</v>
      </c>
      <c r="N36" s="156">
        <f t="shared" si="12"/>
        <v>1.9355</v>
      </c>
      <c r="O36" s="156">
        <f t="shared" si="12"/>
        <v>2.9080541696364932</v>
      </c>
      <c r="P36" s="156">
        <f t="shared" si="12"/>
        <v>3.5</v>
      </c>
      <c r="Q36" s="123">
        <f>SUM(Q$16:Q16)/SUM(Q$16:Q$24)</f>
        <v>0.28955089144662605</v>
      </c>
      <c r="R36" s="123">
        <f>SUM(R$16:R16)/SUM(R$16:R$24)</f>
        <v>0.41802426343154248</v>
      </c>
      <c r="S36" s="123">
        <f>SUM(S$16:S16)/SUM(S$16:S$24)</f>
        <v>0.46951124903025604</v>
      </c>
      <c r="T36" s="123">
        <f>SUM(T$16:T16)/SUM(T$16:T$24)</f>
        <v>0.5743076322974906</v>
      </c>
      <c r="U36" s="123">
        <f>SUM(U$16:U16)/SUM(U$16:U$24)</f>
        <v>0.27046422964790312</v>
      </c>
      <c r="V36" s="123">
        <f>SUM(V$16:V16)/SUM(V$16:V$24)</f>
        <v>0.39756975697569757</v>
      </c>
      <c r="W36" s="124">
        <f>SUM(W$16:W16)/SUM(W$16:W$24)</f>
        <v>0.25073796548592187</v>
      </c>
    </row>
    <row r="37" spans="1:23" x14ac:dyDescent="0.25">
      <c r="A37" s="10"/>
      <c r="B37" s="13"/>
      <c r="C37" s="11"/>
      <c r="D37" s="155" t="str">
        <f t="shared" ref="D37:D44" si="13">D17</f>
        <v>&lt;100</v>
      </c>
      <c r="E37" s="156">
        <f>E27/SUM($E$4:E5)</f>
        <v>0.23416666666666666</v>
      </c>
      <c r="F37" s="156">
        <f t="shared" ref="F37:P43" si="14">F27/F$4</f>
        <v>1.1117549668874172</v>
      </c>
      <c r="G37" s="156">
        <f t="shared" si="14"/>
        <v>1.3113141250878426</v>
      </c>
      <c r="H37" s="156">
        <f t="shared" si="14"/>
        <v>1.785244704163623</v>
      </c>
      <c r="I37" s="156">
        <f t="shared" si="14"/>
        <v>2.3875205254515599</v>
      </c>
      <c r="J37" s="156">
        <f t="shared" si="14"/>
        <v>2.0968421052631578</v>
      </c>
      <c r="K37" s="156">
        <f t="shared" si="14"/>
        <v>3.2392592592592591</v>
      </c>
      <c r="L37" s="156">
        <f t="shared" si="14"/>
        <v>3.7930232558139534</v>
      </c>
      <c r="M37" s="156">
        <f t="shared" si="14"/>
        <v>3.8621679827709978</v>
      </c>
      <c r="N37" s="156">
        <f t="shared" si="14"/>
        <v>3.2665000000000002</v>
      </c>
      <c r="O37" s="156">
        <f t="shared" si="14"/>
        <v>4.9422665716322163</v>
      </c>
      <c r="P37" s="156">
        <f t="shared" si="14"/>
        <v>5.9675118858954042</v>
      </c>
      <c r="Q37" s="123">
        <f>SUM(Q$16:Q17)/SUM(Q$16:Q$24)</f>
        <v>0.42112389979688558</v>
      </c>
      <c r="R37" s="123">
        <f>SUM(R$16:R17)/SUM(R$16:R$24)</f>
        <v>0.58942807625649918</v>
      </c>
      <c r="S37" s="123">
        <f>SUM(S$16:S17)/SUM(S$16:S$24)</f>
        <v>0.59084561675717606</v>
      </c>
      <c r="T37" s="123">
        <f>SUM(T$16:T17)/SUM(T$16:T$24)</f>
        <v>0.67312443115329601</v>
      </c>
      <c r="U37" s="123">
        <f>SUM(U$16:U17)/SUM(U$16:U$24)</f>
        <v>0.4467369365328549</v>
      </c>
      <c r="V37" s="123">
        <f>SUM(V$16:V17)/SUM(V$16:V$24)</f>
        <v>0.53636363636363638</v>
      </c>
      <c r="W37" s="124">
        <f>SUM(W$16:W17)/SUM(W$16:W$24)</f>
        <v>0.42750908265213444</v>
      </c>
    </row>
    <row r="38" spans="1:23" x14ac:dyDescent="0.25">
      <c r="A38" s="10"/>
      <c r="B38" s="13"/>
      <c r="C38" s="11"/>
      <c r="D38" s="155" t="str">
        <f t="shared" si="13"/>
        <v>&lt;200</v>
      </c>
      <c r="E38" s="156">
        <f>E28/SUM($E$4:E6)</f>
        <v>6.5775663004688262E-2</v>
      </c>
      <c r="F38" s="156">
        <f t="shared" si="14"/>
        <v>1.3170529801324504</v>
      </c>
      <c r="G38" s="156">
        <f t="shared" si="14"/>
        <v>1.6788475052705552</v>
      </c>
      <c r="H38" s="156">
        <f t="shared" si="14"/>
        <v>2.2951059167275383</v>
      </c>
      <c r="I38" s="156">
        <f t="shared" si="14"/>
        <v>3.174055829228243</v>
      </c>
      <c r="J38" s="156">
        <f t="shared" si="14"/>
        <v>2.7221052631578946</v>
      </c>
      <c r="K38" s="156">
        <f t="shared" si="14"/>
        <v>4.2044444444444444</v>
      </c>
      <c r="L38" s="156">
        <f t="shared" si="14"/>
        <v>4.9472868217054264</v>
      </c>
      <c r="M38" s="156">
        <f t="shared" si="14"/>
        <v>5.046661880832735</v>
      </c>
      <c r="N38" s="156">
        <f t="shared" si="14"/>
        <v>4.1355000000000004</v>
      </c>
      <c r="O38" s="156">
        <f t="shared" si="14"/>
        <v>6.2879543834640055</v>
      </c>
      <c r="P38" s="156">
        <f t="shared" si="14"/>
        <v>7.5356576862123612</v>
      </c>
      <c r="Q38" s="123">
        <f>SUM(Q$16:Q18)/SUM(Q$16:Q$24)</f>
        <v>0.53915594673888512</v>
      </c>
      <c r="R38" s="123">
        <f>SUM(R$16:R18)/SUM(R$16:R$24)</f>
        <v>0.70467937608318887</v>
      </c>
      <c r="S38" s="123">
        <f>SUM(S$16:S18)/SUM(S$16:S$24)</f>
        <v>0.66252909231962764</v>
      </c>
      <c r="T38" s="123">
        <f>SUM(T$16:T18)/SUM(T$16:T$24)</f>
        <v>0.71590170328955927</v>
      </c>
      <c r="U38" s="123">
        <f>SUM(U$16:U18)/SUM(U$16:U$24)</f>
        <v>0.57995066158331465</v>
      </c>
      <c r="V38" s="123">
        <f>SUM(V$16:V18)/SUM(V$16:V$24)</f>
        <v>0.60756075607560756</v>
      </c>
      <c r="W38" s="124">
        <f>SUM(W$16:W18)/SUM(W$16:W$24)</f>
        <v>0.53985013623978206</v>
      </c>
    </row>
    <row r="39" spans="1:23" x14ac:dyDescent="0.25">
      <c r="A39" s="10"/>
      <c r="B39" s="13"/>
      <c r="C39" s="11"/>
      <c r="D39" s="155" t="str">
        <f t="shared" si="13"/>
        <v>&lt;500</v>
      </c>
      <c r="E39" s="156">
        <f>E29/SUM($E$4:E9)</f>
        <v>6.0460489926140632E-5</v>
      </c>
      <c r="F39" s="156">
        <f t="shared" si="14"/>
        <v>1.5637417218543046</v>
      </c>
      <c r="G39" s="156">
        <f t="shared" si="14"/>
        <v>1.9761068165846802</v>
      </c>
      <c r="H39" s="156">
        <f t="shared" si="14"/>
        <v>2.7523739956172388</v>
      </c>
      <c r="I39" s="156">
        <f t="shared" si="14"/>
        <v>3.7422003284072249</v>
      </c>
      <c r="J39" s="156">
        <f t="shared" si="14"/>
        <v>3.142105263157895</v>
      </c>
      <c r="K39" s="156">
        <f t="shared" si="14"/>
        <v>4.9244444444444442</v>
      </c>
      <c r="L39" s="156">
        <f t="shared" si="14"/>
        <v>5.7604651162790699</v>
      </c>
      <c r="M39" s="156">
        <f t="shared" si="14"/>
        <v>5.8908829863603733</v>
      </c>
      <c r="N39" s="156">
        <f t="shared" si="14"/>
        <v>4.7859999999999996</v>
      </c>
      <c r="O39" s="156">
        <f t="shared" si="14"/>
        <v>7.3150392017106203</v>
      </c>
      <c r="P39" s="156">
        <f t="shared" si="14"/>
        <v>8.7908082408874808</v>
      </c>
      <c r="Q39" s="123">
        <f>SUM(Q$16:Q19)/SUM(Q$16:Q$24)</f>
        <v>0.63461972466711802</v>
      </c>
      <c r="R39" s="123">
        <f>SUM(R$16:R19)/SUM(R$16:R$24)</f>
        <v>0.76967071057192371</v>
      </c>
      <c r="S39" s="123">
        <f>SUM(S$16:S19)/SUM(S$16:S$24)</f>
        <v>0.72117920868890617</v>
      </c>
      <c r="T39" s="123">
        <f>SUM(T$16:T19)/SUM(T$16:T$24)</f>
        <v>0.76895072162267586</v>
      </c>
      <c r="U39" s="123">
        <f>SUM(U$16:U19)/SUM(U$16:U$24)</f>
        <v>0.66943260820811845</v>
      </c>
      <c r="V39" s="123">
        <f>SUM(V$16:V19)/SUM(V$16:V$24)</f>
        <v>0.67830783078307832</v>
      </c>
      <c r="W39" s="124">
        <f>SUM(W$16:W19)/SUM(W$16:W$24)</f>
        <v>0.62976839237057225</v>
      </c>
    </row>
    <row r="40" spans="1:23" x14ac:dyDescent="0.25">
      <c r="A40" s="10"/>
      <c r="B40" s="13"/>
      <c r="C40" s="11"/>
      <c r="D40" s="155" t="str">
        <f t="shared" si="13"/>
        <v>&lt;1k€</v>
      </c>
      <c r="E40" s="156">
        <f>E30/SUM($E$4:E10)</f>
        <v>7.1462556734108225E-5</v>
      </c>
      <c r="F40" s="156">
        <f t="shared" si="14"/>
        <v>1.8120860927152318</v>
      </c>
      <c r="G40" s="156">
        <f t="shared" si="14"/>
        <v>2.2459592410400564</v>
      </c>
      <c r="H40" s="156">
        <f t="shared" si="14"/>
        <v>3.0920379839298757</v>
      </c>
      <c r="I40" s="156">
        <f t="shared" si="14"/>
        <v>4.1699507389162562</v>
      </c>
      <c r="J40" s="156">
        <f t="shared" si="14"/>
        <v>3.506842105263158</v>
      </c>
      <c r="K40" s="156">
        <f t="shared" si="14"/>
        <v>5.5333333333333332</v>
      </c>
      <c r="L40" s="156">
        <f t="shared" si="14"/>
        <v>6.4860465116279071</v>
      </c>
      <c r="M40" s="156">
        <f t="shared" si="14"/>
        <v>6.6432160804020102</v>
      </c>
      <c r="N40" s="156">
        <f t="shared" si="14"/>
        <v>5.4130000000000003</v>
      </c>
      <c r="O40" s="156">
        <f t="shared" si="14"/>
        <v>8.321454027084819</v>
      </c>
      <c r="P40" s="156">
        <f t="shared" si="14"/>
        <v>9.997622820919176</v>
      </c>
      <c r="Q40" s="123">
        <f>SUM(Q$16:Q20)/SUM(Q$16:Q$24)</f>
        <v>0.72128187767998198</v>
      </c>
      <c r="R40" s="123">
        <f>SUM(R$16:R20)/SUM(R$16:R$24)</f>
        <v>0.8232235701906413</v>
      </c>
      <c r="S40" s="123">
        <f>SUM(S$16:S20)/SUM(S$16:S$24)</f>
        <v>0.77626066718386344</v>
      </c>
      <c r="T40" s="123">
        <f>SUM(T$16:T20)/SUM(T$16:T$24)</f>
        <v>0.83071122090755434</v>
      </c>
      <c r="U40" s="123">
        <f>SUM(U$16:U20)/SUM(U$16:U$24)</f>
        <v>0.74714061448755331</v>
      </c>
      <c r="V40" s="123">
        <f>SUM(V$16:V20)/SUM(V$16:V$24)</f>
        <v>0.75301530153015306</v>
      </c>
      <c r="W40" s="124">
        <f>SUM(W$16:W20)/SUM(W$16:W$24)</f>
        <v>0.71622388737511355</v>
      </c>
    </row>
    <row r="41" spans="1:23" x14ac:dyDescent="0.25">
      <c r="A41" s="13"/>
      <c r="B41" s="13"/>
      <c r="C41" s="13"/>
      <c r="D41" s="155" t="str">
        <f t="shared" si="13"/>
        <v>&lt;5k€</v>
      </c>
      <c r="E41" s="156">
        <f>E31/SUM($E$4:E11)</f>
        <v>8.1686109240795599E-5</v>
      </c>
      <c r="F41" s="156">
        <f t="shared" si="14"/>
        <v>2.0206953642384105</v>
      </c>
      <c r="G41" s="156">
        <f t="shared" si="14"/>
        <v>2.4743499648629657</v>
      </c>
      <c r="H41" s="156">
        <f t="shared" si="14"/>
        <v>3.3791088385682979</v>
      </c>
      <c r="I41" s="156">
        <f t="shared" si="14"/>
        <v>4.5385878489326767</v>
      </c>
      <c r="J41" s="156">
        <f t="shared" si="14"/>
        <v>3.8026315789473686</v>
      </c>
      <c r="K41" s="156">
        <f t="shared" si="14"/>
        <v>6.043703703703704</v>
      </c>
      <c r="L41" s="156">
        <f t="shared" si="14"/>
        <v>7.0767441860465112</v>
      </c>
      <c r="M41" s="156">
        <f t="shared" si="14"/>
        <v>7.3259152907394114</v>
      </c>
      <c r="N41" s="156">
        <f t="shared" si="14"/>
        <v>5.9349999999999996</v>
      </c>
      <c r="O41" s="156">
        <f t="shared" si="14"/>
        <v>9.2188168210976471</v>
      </c>
      <c r="P41" s="156">
        <f t="shared" si="14"/>
        <v>11.068145800316957</v>
      </c>
      <c r="Q41" s="123">
        <f>SUM(Q$16:Q21)/SUM(Q$16:Q$24)</f>
        <v>0.79462875197472349</v>
      </c>
      <c r="R41" s="123">
        <f>SUM(R$16:R21)/SUM(R$16:R$24)</f>
        <v>0.86429809358752163</v>
      </c>
      <c r="S41" s="123">
        <f>SUM(S$16:S21)/SUM(S$16:S$24)</f>
        <v>0.8366175329712956</v>
      </c>
      <c r="T41" s="123">
        <f>SUM(T$16:T21)/SUM(T$16:T$24)</f>
        <v>0.88272006241060985</v>
      </c>
      <c r="U41" s="123">
        <f>SUM(U$16:U21)/SUM(U$16:U$24)</f>
        <v>0.81015922852657551</v>
      </c>
      <c r="V41" s="123">
        <f>SUM(V$16:V21)/SUM(V$16:V$24)</f>
        <v>0.82403240324032401</v>
      </c>
      <c r="W41" s="124">
        <f>SUM(W$16:W21)/SUM(W$16:W$24)</f>
        <v>0.79291553133514991</v>
      </c>
    </row>
    <row r="42" spans="1:23" x14ac:dyDescent="0.25">
      <c r="A42" s="13"/>
      <c r="B42" s="13"/>
      <c r="C42" s="13"/>
      <c r="D42" s="155" t="str">
        <f t="shared" si="13"/>
        <v>&lt;10k€</v>
      </c>
      <c r="E42" s="156">
        <f>E32/SUM($E$4:E12)</f>
        <v>8.5230379323431602E-5</v>
      </c>
      <c r="F42" s="156">
        <f t="shared" si="14"/>
        <v>2.1548013245033113</v>
      </c>
      <c r="G42" s="156">
        <f t="shared" si="14"/>
        <v>2.6999297259311312</v>
      </c>
      <c r="H42" s="156">
        <f t="shared" si="14"/>
        <v>3.6588750913075239</v>
      </c>
      <c r="I42" s="156">
        <f t="shared" si="14"/>
        <v>4.9014778325123149</v>
      </c>
      <c r="J42" s="156">
        <f t="shared" si="14"/>
        <v>4.0668421052631576</v>
      </c>
      <c r="K42" s="156">
        <f t="shared" si="14"/>
        <v>6.5207407407407407</v>
      </c>
      <c r="L42" s="156">
        <f t="shared" si="14"/>
        <v>7.7023255813953488</v>
      </c>
      <c r="M42" s="156">
        <f t="shared" si="14"/>
        <v>8.0588657573582196</v>
      </c>
      <c r="N42" s="156">
        <f t="shared" si="14"/>
        <v>6.5434999999999999</v>
      </c>
      <c r="O42" s="156">
        <f t="shared" si="14"/>
        <v>10.18888096935139</v>
      </c>
      <c r="P42" s="156">
        <f t="shared" si="14"/>
        <v>12.190174326465927</v>
      </c>
      <c r="Q42" s="123">
        <f>SUM(Q$16:Q22)/SUM(Q$16:Q$24)</f>
        <v>0.86707289550891442</v>
      </c>
      <c r="R42" s="123">
        <f>SUM(R$16:R22)/SUM(R$16:R$24)</f>
        <v>0.89566724436741763</v>
      </c>
      <c r="S42" s="123">
        <f>SUM(S$16:S22)/SUM(S$16:S$24)</f>
        <v>0.9171450737005431</v>
      </c>
      <c r="T42" s="123">
        <f>SUM(T$16:T22)/SUM(T$16:T$24)</f>
        <v>0.93407879339487709</v>
      </c>
      <c r="U42" s="123">
        <f>SUM(U$16:U22)/SUM(U$16:U$24)</f>
        <v>0.86644987665395834</v>
      </c>
      <c r="V42" s="123">
        <f>SUM(V$16:V22)/SUM(V$16:V$24)</f>
        <v>0.90630063006300632</v>
      </c>
      <c r="W42" s="124">
        <f>SUM(W$16:W22)/SUM(W$16:W$24)</f>
        <v>0.8732970027247956</v>
      </c>
    </row>
    <row r="43" spans="1:23" x14ac:dyDescent="0.25">
      <c r="A43" s="13"/>
      <c r="B43" s="13"/>
      <c r="C43" s="13"/>
      <c r="D43" s="155" t="str">
        <f t="shared" si="13"/>
        <v>&lt;50k€</v>
      </c>
      <c r="E43" s="156">
        <f>E33/SUM($E$4:E13)</f>
        <v>8.8356784696604887E-5</v>
      </c>
      <c r="F43" s="156">
        <f t="shared" si="14"/>
        <v>2.3501655629139071</v>
      </c>
      <c r="G43" s="156">
        <f t="shared" si="14"/>
        <v>2.9304286718200983</v>
      </c>
      <c r="H43" s="156">
        <f t="shared" si="14"/>
        <v>3.9766252739225711</v>
      </c>
      <c r="I43" s="156">
        <f t="shared" si="14"/>
        <v>5.4105090311986865</v>
      </c>
      <c r="J43" s="156">
        <f t="shared" si="14"/>
        <v>4.4247368421052631</v>
      </c>
      <c r="K43" s="156">
        <f t="shared" si="14"/>
        <v>7.1696296296296298</v>
      </c>
      <c r="L43" s="156">
        <f t="shared" si="14"/>
        <v>8.4356589147286822</v>
      </c>
      <c r="M43" s="156">
        <f t="shared" si="14"/>
        <v>8.7832017229002162</v>
      </c>
      <c r="N43" s="156">
        <f t="shared" si="14"/>
        <v>7.0815000000000001</v>
      </c>
      <c r="O43" s="156">
        <f t="shared" si="14"/>
        <v>11.044903777619387</v>
      </c>
      <c r="P43" s="156">
        <f t="shared" si="14"/>
        <v>13.207606973058637</v>
      </c>
      <c r="Q43" s="123">
        <f>SUM(Q$16:Q23)/SUM(Q$16:Q$24)</f>
        <v>0.94109681787406907</v>
      </c>
      <c r="R43" s="123">
        <f>SUM(R$16:R23)/SUM(R$16:R$24)</f>
        <v>0.95667244367417681</v>
      </c>
      <c r="S43" s="123">
        <f>SUM(S$16:S23)/SUM(S$16:S$24)</f>
        <v>0.96819239720713735</v>
      </c>
      <c r="T43" s="123">
        <f>SUM(T$16:T23)/SUM(T$16:T$24)</f>
        <v>0.96983487192822782</v>
      </c>
      <c r="U43" s="123">
        <f>SUM(U$16:U23)/SUM(U$16:U$24)</f>
        <v>0.94270015698587128</v>
      </c>
      <c r="V43" s="123">
        <f>SUM(V$16:V23)/SUM(V$16:V$24)</f>
        <v>0.96066606660666065</v>
      </c>
      <c r="W43" s="124">
        <f>SUM(W$16:W23)/SUM(W$16:W$24)</f>
        <v>0.94618528610354224</v>
      </c>
    </row>
    <row r="44" spans="1:23" x14ac:dyDescent="0.25">
      <c r="A44" s="13"/>
      <c r="B44" s="13"/>
      <c r="C44" s="13"/>
      <c r="D44" s="155" t="str">
        <f t="shared" si="13"/>
        <v>&gt;= 50k€</v>
      </c>
      <c r="E44" s="156">
        <f>E34/SUM($E4:E$4)</f>
        <v>5.3333333333333337E-2</v>
      </c>
      <c r="F44" s="156">
        <f>F34/SUM($E4:F$4)</f>
        <v>2.4268617021276594E-2</v>
      </c>
      <c r="G44" s="156">
        <f>G34/SUM($E4:G$4)</f>
        <v>2.0762807492665313E-2</v>
      </c>
      <c r="H44" s="156">
        <f>H34/SUM($E4:H$4)</f>
        <v>1.6379310344827588E-2</v>
      </c>
      <c r="I44" s="156">
        <f>I34/SUM($E4:I$4)</f>
        <v>1.0259333143345683E-2</v>
      </c>
      <c r="J44" s="156">
        <f>J34/SUM($E4:J$4)</f>
        <v>9.3070195111011438E-3</v>
      </c>
      <c r="K44" s="156">
        <f>K34/SUM($E4:K$4)</f>
        <v>7.5964160498636539E-3</v>
      </c>
      <c r="L44" s="156">
        <f>L34/SUM($E4:L$4)</f>
        <v>7.527253850147084E-3</v>
      </c>
      <c r="M44" s="156">
        <f>M34/SUM($E4:M$4)</f>
        <v>3.0885645896069802E-3</v>
      </c>
      <c r="N44" s="156">
        <f>N34/SUM($E4:N$4)</f>
        <v>4.8157313892047355E-3</v>
      </c>
      <c r="O44" s="156">
        <f>O34/SUM($E4:O$4)</f>
        <v>4.2802983979454571E-3</v>
      </c>
      <c r="P44" s="156">
        <f>P34/SUM($E4:P$4)</f>
        <v>5.108991825613079E-3</v>
      </c>
      <c r="Q44" s="123">
        <f>SUM(Q$16:Q24)/SUM(Q$16:Q$24)</f>
        <v>1</v>
      </c>
      <c r="R44" s="123">
        <f>SUM(R$16:R24)/SUM(R$16:R$24)</f>
        <v>1</v>
      </c>
      <c r="S44" s="123">
        <f>SUM(S$16:S24)/SUM(S$16:S$24)</f>
        <v>1</v>
      </c>
      <c r="T44" s="123">
        <f>SUM(T$16:T24)/SUM(T$16:T$24)</f>
        <v>1</v>
      </c>
      <c r="U44" s="123">
        <f>SUM(U$16:U24)/SUM(U$16:U$24)</f>
        <v>1</v>
      </c>
      <c r="V44" s="123">
        <f>SUM(V$16:V24)/SUM(V$16:V$24)</f>
        <v>1</v>
      </c>
      <c r="W44" s="124">
        <f>SUM(W$16:W24)/SUM(W$16:W$24)</f>
        <v>1</v>
      </c>
    </row>
    <row r="45" spans="1:23" x14ac:dyDescent="0.25">
      <c r="A45" s="8"/>
      <c r="B45" s="8"/>
      <c r="C45" s="8"/>
      <c r="D45" s="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23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23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23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69" spans="4:15" x14ac:dyDescent="0.25">
      <c r="H69" s="168" t="s">
        <v>148</v>
      </c>
      <c r="I69" s="168" t="s">
        <v>149</v>
      </c>
    </row>
    <row r="70" spans="4:15" ht="45" x14ac:dyDescent="0.25">
      <c r="E70" s="162" t="s">
        <v>145</v>
      </c>
      <c r="F70" s="162" t="s">
        <v>143</v>
      </c>
      <c r="G70" s="162" t="s">
        <v>146</v>
      </c>
      <c r="H70" s="169" t="s">
        <v>144</v>
      </c>
      <c r="I70" s="169" t="s">
        <v>147</v>
      </c>
      <c r="K70" s="162"/>
      <c r="L70" s="162"/>
      <c r="M70" s="162"/>
      <c r="N70" s="162"/>
      <c r="O70" s="162"/>
    </row>
    <row r="71" spans="4:15" x14ac:dyDescent="0.25">
      <c r="E71" s="162"/>
      <c r="F71" s="162"/>
      <c r="G71" s="162"/>
      <c r="H71" s="170">
        <f t="shared" ref="H71:H102" si="15">F71/MAX($F$72:$F$141)</f>
        <v>0</v>
      </c>
      <c r="I71" s="170">
        <f t="shared" ref="I71:I102" si="16">G71/MAX($G$72:$G$141)</f>
        <v>0</v>
      </c>
      <c r="K71" s="162"/>
      <c r="L71" s="162"/>
      <c r="M71" s="162"/>
      <c r="N71" s="162"/>
      <c r="O71" s="162"/>
    </row>
    <row r="72" spans="4:15" x14ac:dyDescent="0.25">
      <c r="E72" s="167">
        <v>100000</v>
      </c>
      <c r="F72" s="163">
        <f>1</f>
        <v>1</v>
      </c>
      <c r="G72" s="165">
        <f>E72</f>
        <v>100000</v>
      </c>
      <c r="H72" s="170">
        <f t="shared" si="15"/>
        <v>1.4285714285714285E-2</v>
      </c>
      <c r="I72" s="170">
        <f t="shared" si="16"/>
        <v>9.678115554764101E-2</v>
      </c>
      <c r="K72" s="173">
        <f>1-H71</f>
        <v>1</v>
      </c>
    </row>
    <row r="73" spans="4:15" x14ac:dyDescent="0.25">
      <c r="D73" s="172"/>
      <c r="E73" s="167">
        <v>99000</v>
      </c>
      <c r="F73" s="163">
        <f>F72+1</f>
        <v>2</v>
      </c>
      <c r="G73" s="165">
        <f>G72+E73</f>
        <v>199000</v>
      </c>
      <c r="H73" s="170">
        <f t="shared" si="15"/>
        <v>2.8571428571428571E-2</v>
      </c>
      <c r="I73" s="170">
        <f t="shared" si="16"/>
        <v>0.19259449953980562</v>
      </c>
      <c r="K73" s="173">
        <f t="shared" ref="K73:K136" si="17">1-H72</f>
        <v>0.98571428571428577</v>
      </c>
    </row>
    <row r="74" spans="4:15" x14ac:dyDescent="0.25">
      <c r="D74" s="172"/>
      <c r="E74" s="167">
        <v>95000</v>
      </c>
      <c r="F74" s="163">
        <f t="shared" ref="F74:F137" si="18">F73+1</f>
        <v>3</v>
      </c>
      <c r="G74" s="165">
        <f t="shared" ref="G74:G137" si="19">G73+E74</f>
        <v>294000</v>
      </c>
      <c r="H74" s="170">
        <f t="shared" si="15"/>
        <v>4.2857142857142858E-2</v>
      </c>
      <c r="I74" s="170">
        <f t="shared" si="16"/>
        <v>0.28453659731006459</v>
      </c>
      <c r="K74" s="173">
        <f t="shared" si="17"/>
        <v>0.97142857142857142</v>
      </c>
    </row>
    <row r="75" spans="4:15" x14ac:dyDescent="0.25">
      <c r="D75" s="172"/>
      <c r="E75" s="167">
        <v>85000</v>
      </c>
      <c r="F75" s="163">
        <f t="shared" si="18"/>
        <v>4</v>
      </c>
      <c r="G75" s="165">
        <f t="shared" si="19"/>
        <v>379000</v>
      </c>
      <c r="H75" s="170">
        <f t="shared" si="15"/>
        <v>5.7142857142857141E-2</v>
      </c>
      <c r="I75" s="170">
        <f t="shared" si="16"/>
        <v>0.36680057952555944</v>
      </c>
      <c r="K75" s="173">
        <f t="shared" si="17"/>
        <v>0.95714285714285718</v>
      </c>
    </row>
    <row r="76" spans="4:15" x14ac:dyDescent="0.25">
      <c r="D76" s="172"/>
      <c r="E76" s="167">
        <v>70000</v>
      </c>
      <c r="F76" s="163">
        <f t="shared" si="18"/>
        <v>5</v>
      </c>
      <c r="G76" s="165">
        <f t="shared" si="19"/>
        <v>449000</v>
      </c>
      <c r="H76" s="170">
        <f t="shared" si="15"/>
        <v>7.1428571428571425E-2</v>
      </c>
      <c r="I76" s="170">
        <f t="shared" si="16"/>
        <v>0.43454738840890811</v>
      </c>
      <c r="K76" s="173">
        <f t="shared" si="17"/>
        <v>0.94285714285714284</v>
      </c>
    </row>
    <row r="77" spans="4:15" x14ac:dyDescent="0.25">
      <c r="D77" s="172"/>
      <c r="E77" s="167">
        <v>65000</v>
      </c>
      <c r="F77" s="163">
        <f t="shared" si="18"/>
        <v>6</v>
      </c>
      <c r="G77" s="165">
        <f t="shared" si="19"/>
        <v>514000</v>
      </c>
      <c r="H77" s="170">
        <f t="shared" si="15"/>
        <v>8.5714285714285715E-2</v>
      </c>
      <c r="I77" s="170">
        <f t="shared" si="16"/>
        <v>0.4974551395148748</v>
      </c>
      <c r="K77" s="173">
        <f t="shared" si="17"/>
        <v>0.9285714285714286</v>
      </c>
    </row>
    <row r="78" spans="4:15" x14ac:dyDescent="0.25">
      <c r="D78" s="172"/>
      <c r="E78" s="167">
        <v>55000</v>
      </c>
      <c r="F78" s="163">
        <f t="shared" si="18"/>
        <v>7</v>
      </c>
      <c r="G78" s="165">
        <f t="shared" si="19"/>
        <v>569000</v>
      </c>
      <c r="H78" s="170">
        <f t="shared" si="15"/>
        <v>0.1</v>
      </c>
      <c r="I78" s="170">
        <f t="shared" si="16"/>
        <v>0.55068477506607738</v>
      </c>
      <c r="K78" s="173">
        <f t="shared" si="17"/>
        <v>0.91428571428571426</v>
      </c>
    </row>
    <row r="79" spans="4:15" x14ac:dyDescent="0.25">
      <c r="D79" s="172"/>
      <c r="E79" s="167">
        <v>49500</v>
      </c>
      <c r="F79" s="163">
        <f t="shared" si="18"/>
        <v>8</v>
      </c>
      <c r="G79" s="165">
        <f t="shared" si="19"/>
        <v>618500</v>
      </c>
      <c r="H79" s="170">
        <f t="shared" si="15"/>
        <v>0.11428571428571428</v>
      </c>
      <c r="I79" s="170">
        <f t="shared" si="16"/>
        <v>0.59859144706215961</v>
      </c>
      <c r="J79" s="171" t="s">
        <v>104</v>
      </c>
      <c r="K79" s="173">
        <f t="shared" si="17"/>
        <v>0.9</v>
      </c>
    </row>
    <row r="80" spans="4:15" x14ac:dyDescent="0.25">
      <c r="D80" s="172"/>
      <c r="E80" s="167">
        <v>48500</v>
      </c>
      <c r="F80" s="163">
        <f t="shared" si="18"/>
        <v>9</v>
      </c>
      <c r="G80" s="165">
        <f t="shared" si="19"/>
        <v>667000</v>
      </c>
      <c r="H80" s="170">
        <f t="shared" si="15"/>
        <v>0.12857142857142856</v>
      </c>
      <c r="I80" s="170">
        <f t="shared" si="16"/>
        <v>0.64553030750276552</v>
      </c>
      <c r="J80" s="172"/>
      <c r="K80" s="173">
        <f t="shared" si="17"/>
        <v>0.88571428571428568</v>
      </c>
    </row>
    <row r="81" spans="4:17" x14ac:dyDescent="0.25">
      <c r="D81" s="172"/>
      <c r="E81" s="167">
        <v>45000</v>
      </c>
      <c r="F81" s="163">
        <f t="shared" si="18"/>
        <v>10</v>
      </c>
      <c r="G81" s="165">
        <f t="shared" si="19"/>
        <v>712000</v>
      </c>
      <c r="H81" s="170">
        <f t="shared" si="15"/>
        <v>0.14285714285714285</v>
      </c>
      <c r="I81" s="170">
        <f t="shared" si="16"/>
        <v>0.68908182749920399</v>
      </c>
      <c r="K81" s="173">
        <f t="shared" si="17"/>
        <v>0.87142857142857144</v>
      </c>
    </row>
    <row r="82" spans="4:17" x14ac:dyDescent="0.25">
      <c r="E82" s="167">
        <v>39000</v>
      </c>
      <c r="F82" s="163">
        <f t="shared" si="18"/>
        <v>11</v>
      </c>
      <c r="G82" s="165">
        <f t="shared" si="19"/>
        <v>751000</v>
      </c>
      <c r="H82" s="170">
        <f t="shared" si="15"/>
        <v>0.15714285714285714</v>
      </c>
      <c r="I82" s="170">
        <f t="shared" si="16"/>
        <v>0.72682647816278401</v>
      </c>
      <c r="K82" s="173">
        <f t="shared" si="17"/>
        <v>0.85714285714285721</v>
      </c>
    </row>
    <row r="83" spans="4:17" x14ac:dyDescent="0.25">
      <c r="E83" s="167">
        <v>33000</v>
      </c>
      <c r="F83" s="163">
        <f t="shared" si="18"/>
        <v>12</v>
      </c>
      <c r="G83" s="165">
        <f t="shared" si="19"/>
        <v>784000</v>
      </c>
      <c r="H83" s="170">
        <f t="shared" si="15"/>
        <v>0.17142857142857143</v>
      </c>
      <c r="I83" s="170">
        <f t="shared" si="16"/>
        <v>0.75876425949350546</v>
      </c>
      <c r="K83" s="173">
        <f t="shared" si="17"/>
        <v>0.84285714285714286</v>
      </c>
    </row>
    <row r="84" spans="4:17" x14ac:dyDescent="0.25">
      <c r="E84" s="167">
        <v>32000</v>
      </c>
      <c r="F84" s="163">
        <f t="shared" si="18"/>
        <v>13</v>
      </c>
      <c r="G84" s="165">
        <f t="shared" si="19"/>
        <v>816000</v>
      </c>
      <c r="H84" s="170">
        <f t="shared" si="15"/>
        <v>0.18571428571428572</v>
      </c>
      <c r="I84" s="170">
        <f t="shared" si="16"/>
        <v>0.78973422926875059</v>
      </c>
      <c r="K84" s="173">
        <f t="shared" si="17"/>
        <v>0.82857142857142851</v>
      </c>
    </row>
    <row r="85" spans="4:17" x14ac:dyDescent="0.25">
      <c r="E85" s="167">
        <v>29000</v>
      </c>
      <c r="F85" s="163">
        <f t="shared" si="18"/>
        <v>14</v>
      </c>
      <c r="G85" s="165">
        <f t="shared" si="19"/>
        <v>845000</v>
      </c>
      <c r="H85" s="170">
        <f t="shared" si="15"/>
        <v>0.2</v>
      </c>
      <c r="I85" s="170">
        <f t="shared" si="16"/>
        <v>0.81780076437756655</v>
      </c>
      <c r="J85" s="172"/>
      <c r="K85" s="173">
        <f t="shared" si="17"/>
        <v>0.81428571428571428</v>
      </c>
    </row>
    <row r="86" spans="4:17" x14ac:dyDescent="0.25">
      <c r="E86" s="167">
        <v>25000</v>
      </c>
      <c r="F86" s="163">
        <f t="shared" si="18"/>
        <v>15</v>
      </c>
      <c r="G86" s="165">
        <f t="shared" si="19"/>
        <v>870000</v>
      </c>
      <c r="H86" s="170">
        <f t="shared" si="15"/>
        <v>0.21428571428571427</v>
      </c>
      <c r="I86" s="170">
        <f t="shared" si="16"/>
        <v>0.8419960532644768</v>
      </c>
      <c r="K86" s="173">
        <f t="shared" si="17"/>
        <v>0.8</v>
      </c>
    </row>
    <row r="87" spans="4:17" x14ac:dyDescent="0.25">
      <c r="E87" s="167">
        <v>21000</v>
      </c>
      <c r="F87" s="163">
        <f t="shared" si="18"/>
        <v>16</v>
      </c>
      <c r="G87" s="165">
        <f t="shared" si="19"/>
        <v>891000</v>
      </c>
      <c r="H87" s="170">
        <f t="shared" si="15"/>
        <v>0.22857142857142856</v>
      </c>
      <c r="I87" s="170">
        <f t="shared" si="16"/>
        <v>0.86232009592948133</v>
      </c>
      <c r="K87" s="173">
        <f t="shared" si="17"/>
        <v>0.7857142857142857</v>
      </c>
    </row>
    <row r="88" spans="4:17" x14ac:dyDescent="0.25">
      <c r="E88" s="167">
        <v>19000</v>
      </c>
      <c r="F88" s="163">
        <f t="shared" si="18"/>
        <v>17</v>
      </c>
      <c r="G88" s="165">
        <f t="shared" si="19"/>
        <v>910000</v>
      </c>
      <c r="H88" s="170">
        <f t="shared" si="15"/>
        <v>0.24285714285714285</v>
      </c>
      <c r="I88" s="170">
        <f t="shared" si="16"/>
        <v>0.88070851548353313</v>
      </c>
      <c r="K88" s="173">
        <f t="shared" si="17"/>
        <v>0.77142857142857146</v>
      </c>
    </row>
    <row r="89" spans="4:17" x14ac:dyDescent="0.25">
      <c r="E89" s="167">
        <v>17000</v>
      </c>
      <c r="F89" s="163">
        <f t="shared" si="18"/>
        <v>18</v>
      </c>
      <c r="G89" s="165">
        <f t="shared" si="19"/>
        <v>927000</v>
      </c>
      <c r="H89" s="170">
        <f t="shared" si="15"/>
        <v>0.25714285714285712</v>
      </c>
      <c r="I89" s="170">
        <f t="shared" si="16"/>
        <v>0.89716131192663218</v>
      </c>
      <c r="K89" s="173">
        <f t="shared" si="17"/>
        <v>0.75714285714285712</v>
      </c>
    </row>
    <row r="90" spans="4:17" x14ac:dyDescent="0.25">
      <c r="E90" s="167">
        <v>12000</v>
      </c>
      <c r="F90" s="163">
        <f t="shared" si="18"/>
        <v>19</v>
      </c>
      <c r="G90" s="165">
        <f t="shared" si="19"/>
        <v>939000</v>
      </c>
      <c r="H90" s="170">
        <f t="shared" si="15"/>
        <v>0.27142857142857141</v>
      </c>
      <c r="I90" s="170">
        <f t="shared" si="16"/>
        <v>0.90877505059234909</v>
      </c>
      <c r="J90" s="172"/>
      <c r="K90" s="173">
        <f t="shared" si="17"/>
        <v>0.74285714285714288</v>
      </c>
    </row>
    <row r="91" spans="4:17" x14ac:dyDescent="0.25">
      <c r="E91" s="167">
        <v>10500</v>
      </c>
      <c r="F91" s="163">
        <f t="shared" si="18"/>
        <v>20</v>
      </c>
      <c r="G91" s="165">
        <f t="shared" si="19"/>
        <v>949500</v>
      </c>
      <c r="H91" s="170">
        <f t="shared" si="15"/>
        <v>0.2857142857142857</v>
      </c>
      <c r="I91" s="170">
        <f t="shared" si="16"/>
        <v>0.91893707192485141</v>
      </c>
      <c r="K91" s="173">
        <f t="shared" si="17"/>
        <v>0.72857142857142865</v>
      </c>
    </row>
    <row r="92" spans="4:17" ht="30" x14ac:dyDescent="0.25">
      <c r="E92" s="167">
        <v>9950</v>
      </c>
      <c r="F92" s="163">
        <f t="shared" si="18"/>
        <v>21</v>
      </c>
      <c r="G92" s="165">
        <f t="shared" si="19"/>
        <v>959450</v>
      </c>
      <c r="H92" s="170">
        <f t="shared" si="15"/>
        <v>0.3</v>
      </c>
      <c r="I92" s="170">
        <f t="shared" si="16"/>
        <v>0.92856679690184163</v>
      </c>
      <c r="J92" s="171" t="s">
        <v>103</v>
      </c>
      <c r="K92" s="173">
        <f t="shared" si="17"/>
        <v>0.7142857142857143</v>
      </c>
      <c r="M92" s="187" t="s">
        <v>150</v>
      </c>
      <c r="N92" s="188" t="s">
        <v>151</v>
      </c>
      <c r="O92" s="188" t="s">
        <v>152</v>
      </c>
      <c r="P92" s="188" t="s">
        <v>153</v>
      </c>
      <c r="Q92" s="189" t="s">
        <v>154</v>
      </c>
    </row>
    <row r="93" spans="4:17" x14ac:dyDescent="0.25">
      <c r="E93" s="167">
        <v>8900</v>
      </c>
      <c r="F93" s="163">
        <f t="shared" si="18"/>
        <v>22</v>
      </c>
      <c r="G93" s="165">
        <f t="shared" si="19"/>
        <v>968350</v>
      </c>
      <c r="H93" s="170">
        <f t="shared" si="15"/>
        <v>0.31428571428571428</v>
      </c>
      <c r="I93" s="170">
        <f t="shared" si="16"/>
        <v>0.93718031974558169</v>
      </c>
      <c r="K93" s="173">
        <f t="shared" si="17"/>
        <v>0.7</v>
      </c>
      <c r="M93" s="184"/>
      <c r="N93" s="185"/>
      <c r="O93" s="185"/>
      <c r="P93" s="185"/>
      <c r="Q93" s="186"/>
    </row>
    <row r="94" spans="4:17" x14ac:dyDescent="0.25">
      <c r="E94" s="167">
        <v>7800</v>
      </c>
      <c r="F94" s="163">
        <f t="shared" si="18"/>
        <v>23</v>
      </c>
      <c r="G94" s="165">
        <f t="shared" si="19"/>
        <v>976150</v>
      </c>
      <c r="H94" s="170">
        <f t="shared" si="15"/>
        <v>0.32857142857142857</v>
      </c>
      <c r="I94" s="170">
        <f t="shared" si="16"/>
        <v>0.94472924987829765</v>
      </c>
      <c r="K94" s="173">
        <f t="shared" si="17"/>
        <v>0.68571428571428572</v>
      </c>
      <c r="M94" s="174" t="s">
        <v>105</v>
      </c>
      <c r="N94" s="175">
        <f>COUNTIF($E$72:$E$141,"&gt;50000")</f>
        <v>7</v>
      </c>
      <c r="O94" s="176">
        <f>N94/MAX($F$72:$F$141)</f>
        <v>0.1</v>
      </c>
      <c r="P94" s="177">
        <f>SUMIFS($E$72:$E$141,$E$72:$E$141,"&gt;=50000")</f>
        <v>569000</v>
      </c>
      <c r="Q94" s="178">
        <f>P94/SUM($P$94:$P$102)</f>
        <v>0.55068477506607738</v>
      </c>
    </row>
    <row r="95" spans="4:17" x14ac:dyDescent="0.25">
      <c r="E95" s="167">
        <v>6700</v>
      </c>
      <c r="F95" s="163">
        <f t="shared" si="18"/>
        <v>24</v>
      </c>
      <c r="G95" s="165">
        <f t="shared" si="19"/>
        <v>982850</v>
      </c>
      <c r="H95" s="170">
        <f t="shared" si="15"/>
        <v>0.34285714285714286</v>
      </c>
      <c r="I95" s="170">
        <f t="shared" si="16"/>
        <v>0.95121358729998962</v>
      </c>
      <c r="K95" s="173">
        <f t="shared" si="17"/>
        <v>0.67142857142857149</v>
      </c>
      <c r="M95" s="174" t="s">
        <v>104</v>
      </c>
      <c r="N95" s="175">
        <f>COUNTIF($E$72:$E$141,"&lt;50000")-SUM(N96:N102)</f>
        <v>13</v>
      </c>
      <c r="O95" s="176">
        <f t="shared" ref="O95:O102" si="20">N95/MAX($F$72:$F$141)</f>
        <v>0.18571428571428572</v>
      </c>
      <c r="P95" s="177">
        <f>SUMIFS($E$72:$E$141,$E$72:$E$141,"&lt;50000",$E$72:$E$141,"&gt;=10000")</f>
        <v>380500</v>
      </c>
      <c r="Q95" s="178">
        <f t="shared" ref="Q95:Q102" si="21">P95/SUM($P$94:$P$102)</f>
        <v>0.36825229685877403</v>
      </c>
    </row>
    <row r="96" spans="4:17" x14ac:dyDescent="0.25">
      <c r="E96" s="167">
        <v>5500</v>
      </c>
      <c r="F96" s="163">
        <f t="shared" si="18"/>
        <v>25</v>
      </c>
      <c r="G96" s="165">
        <f t="shared" si="19"/>
        <v>988350</v>
      </c>
      <c r="H96" s="170">
        <f t="shared" si="15"/>
        <v>0.35714285714285715</v>
      </c>
      <c r="I96" s="170">
        <f t="shared" si="16"/>
        <v>0.95653655085510991</v>
      </c>
      <c r="K96" s="173">
        <f t="shared" si="17"/>
        <v>0.65714285714285714</v>
      </c>
      <c r="M96" s="174" t="s">
        <v>103</v>
      </c>
      <c r="N96" s="175">
        <f>COUNTIF($E$72:$E$141,"&lt;10000")-SUM(N97:N102)</f>
        <v>6</v>
      </c>
      <c r="O96" s="176">
        <f t="shared" si="20"/>
        <v>8.5714285714285715E-2</v>
      </c>
      <c r="P96" s="177">
        <f>SUMIFS($E$72:$E$141,$E$72:$E$141,"&lt;10000",$E$72:$E$141,"&gt;=5000")</f>
        <v>44100</v>
      </c>
      <c r="Q96" s="178">
        <f t="shared" si="21"/>
        <v>4.2680489596509684E-2</v>
      </c>
    </row>
    <row r="97" spans="5:17" x14ac:dyDescent="0.25">
      <c r="E97" s="167">
        <v>5250</v>
      </c>
      <c r="F97" s="163">
        <f t="shared" si="18"/>
        <v>26</v>
      </c>
      <c r="G97" s="165">
        <f t="shared" si="19"/>
        <v>993600</v>
      </c>
      <c r="H97" s="170">
        <f t="shared" si="15"/>
        <v>0.37142857142857144</v>
      </c>
      <c r="I97" s="170">
        <f t="shared" si="16"/>
        <v>0.96161756152136102</v>
      </c>
      <c r="J97" s="172"/>
      <c r="K97" s="173">
        <f t="shared" si="17"/>
        <v>0.64285714285714279</v>
      </c>
      <c r="M97" s="174" t="s">
        <v>102</v>
      </c>
      <c r="N97" s="175">
        <f>COUNTIF($E$72:$E$141,"&lt;5000")-SUM(N98:N102)</f>
        <v>11</v>
      </c>
      <c r="O97" s="176">
        <f t="shared" si="20"/>
        <v>0.15714285714285714</v>
      </c>
      <c r="P97" s="177">
        <f>SUMIFS($E$72:$E$141,$E$72:$E$141,"&lt;5000",$E$72:$E$141,"&gt;=1000")</f>
        <v>30800</v>
      </c>
      <c r="Q97" s="178">
        <f t="shared" si="21"/>
        <v>2.9808595908673432E-2</v>
      </c>
    </row>
    <row r="98" spans="5:17" x14ac:dyDescent="0.25">
      <c r="E98" s="167">
        <v>4900</v>
      </c>
      <c r="F98" s="163">
        <f t="shared" si="18"/>
        <v>27</v>
      </c>
      <c r="G98" s="165">
        <f t="shared" si="19"/>
        <v>998500</v>
      </c>
      <c r="H98" s="170">
        <f t="shared" si="15"/>
        <v>0.38571428571428573</v>
      </c>
      <c r="I98" s="170">
        <f t="shared" si="16"/>
        <v>0.96635983814319548</v>
      </c>
      <c r="J98" s="171" t="s">
        <v>102</v>
      </c>
      <c r="K98" s="173">
        <f t="shared" si="17"/>
        <v>0.62857142857142856</v>
      </c>
      <c r="M98" s="174" t="s">
        <v>101</v>
      </c>
      <c r="N98" s="175">
        <f>COUNTIF($E$72:$E$141,"&lt;1000")-SUM(N99:N102)</f>
        <v>7</v>
      </c>
      <c r="O98" s="176">
        <f t="shared" si="20"/>
        <v>0.1</v>
      </c>
      <c r="P98" s="177">
        <f>SUMIFS($E$72:$E$141,$E$72:$E$141,"&lt;1000",$E$72:$E$141,"&gt;=500")</f>
        <v>5210</v>
      </c>
      <c r="Q98" s="178">
        <f t="shared" si="21"/>
        <v>5.0422982040320965E-3</v>
      </c>
    </row>
    <row r="99" spans="5:17" x14ac:dyDescent="0.25">
      <c r="E99" s="167">
        <v>4500</v>
      </c>
      <c r="F99" s="163">
        <f t="shared" si="18"/>
        <v>28</v>
      </c>
      <c r="G99" s="165">
        <f t="shared" si="19"/>
        <v>1003000</v>
      </c>
      <c r="H99" s="170">
        <f t="shared" si="15"/>
        <v>0.4</v>
      </c>
      <c r="I99" s="170">
        <f t="shared" si="16"/>
        <v>0.97071499014283935</v>
      </c>
      <c r="K99" s="173">
        <f t="shared" si="17"/>
        <v>0.61428571428571432</v>
      </c>
      <c r="M99" s="174" t="s">
        <v>100</v>
      </c>
      <c r="N99" s="175">
        <f>COUNTIF($E$72:$E$141,"&lt;500")-SUM(N100:N102)</f>
        <v>7</v>
      </c>
      <c r="O99" s="176">
        <f t="shared" si="20"/>
        <v>0.1</v>
      </c>
      <c r="P99" s="177">
        <f>SUMIFS($E$72:$E$141,$E$72:$E$141,"&lt;500",$E$72:$E$141,"&gt;=200")</f>
        <v>2360</v>
      </c>
      <c r="Q99" s="178">
        <f t="shared" si="21"/>
        <v>2.2840352709243279E-3</v>
      </c>
    </row>
    <row r="100" spans="5:17" x14ac:dyDescent="0.25">
      <c r="E100" s="167">
        <v>3900</v>
      </c>
      <c r="F100" s="163">
        <f t="shared" si="18"/>
        <v>29</v>
      </c>
      <c r="G100" s="165">
        <f t="shared" si="19"/>
        <v>1006900</v>
      </c>
      <c r="H100" s="170">
        <f t="shared" si="15"/>
        <v>0.41428571428571431</v>
      </c>
      <c r="I100" s="170">
        <f t="shared" si="16"/>
        <v>0.97448945520919728</v>
      </c>
      <c r="K100" s="173">
        <f t="shared" si="17"/>
        <v>0.6</v>
      </c>
      <c r="M100" s="174" t="s">
        <v>99</v>
      </c>
      <c r="N100" s="175">
        <f>COUNTIF($E$72:$E$141,"&lt;200")-SUM(N101:N102)</f>
        <v>5</v>
      </c>
      <c r="O100" s="176">
        <f t="shared" si="20"/>
        <v>7.1428571428571425E-2</v>
      </c>
      <c r="P100" s="177">
        <f>SUMIFS($E$72:$E$141,$E$72:$E$141,"&lt;200",$E$72:$E$141,"&gt;=100")</f>
        <v>765</v>
      </c>
      <c r="Q100" s="178">
        <f t="shared" si="21"/>
        <v>7.4037583993945375E-4</v>
      </c>
    </row>
    <row r="101" spans="5:17" x14ac:dyDescent="0.25">
      <c r="E101" s="167">
        <v>3500</v>
      </c>
      <c r="F101" s="163">
        <f t="shared" si="18"/>
        <v>30</v>
      </c>
      <c r="G101" s="165">
        <f t="shared" si="19"/>
        <v>1010400</v>
      </c>
      <c r="H101" s="170">
        <f t="shared" si="15"/>
        <v>0.42857142857142855</v>
      </c>
      <c r="I101" s="170">
        <f t="shared" si="16"/>
        <v>0.97787679565336472</v>
      </c>
      <c r="K101" s="173">
        <f t="shared" si="17"/>
        <v>0.58571428571428563</v>
      </c>
      <c r="M101" s="174" t="s">
        <v>98</v>
      </c>
      <c r="N101" s="175">
        <f>COUNTIF($E$72:$E$141,"&lt;100")-SUM(N102:$N$102)</f>
        <v>5</v>
      </c>
      <c r="O101" s="176">
        <f t="shared" si="20"/>
        <v>7.1428571428571425E-2</v>
      </c>
      <c r="P101" s="177">
        <f>SUMIFS($E$72:$E$141,$E$72:$E$141,"&lt;100",$E$72:$E$141,"&gt;=50")</f>
        <v>374</v>
      </c>
      <c r="Q101" s="178">
        <f t="shared" si="21"/>
        <v>3.6196152174817738E-4</v>
      </c>
    </row>
    <row r="102" spans="5:17" x14ac:dyDescent="0.25">
      <c r="E102" s="167">
        <v>2950</v>
      </c>
      <c r="F102" s="163">
        <f t="shared" si="18"/>
        <v>31</v>
      </c>
      <c r="G102" s="165">
        <f t="shared" si="19"/>
        <v>1013350</v>
      </c>
      <c r="H102" s="170">
        <f t="shared" si="15"/>
        <v>0.44285714285714284</v>
      </c>
      <c r="I102" s="170">
        <f t="shared" si="16"/>
        <v>0.98073183974202016</v>
      </c>
      <c r="K102" s="173">
        <f t="shared" si="17"/>
        <v>0.5714285714285714</v>
      </c>
      <c r="M102" s="179" t="s">
        <v>97</v>
      </c>
      <c r="N102" s="180">
        <f>COUNTIF($E$72:$E$141,"&lt;50")</f>
        <v>9</v>
      </c>
      <c r="O102" s="181">
        <f t="shared" si="20"/>
        <v>0.12857142857142856</v>
      </c>
      <c r="P102" s="182">
        <f>SUMIFS($E$72:$E$141,$E$72:$E$141,"&lt;50")</f>
        <v>150</v>
      </c>
      <c r="Q102" s="183">
        <f t="shared" si="21"/>
        <v>1.4517173332146151E-4</v>
      </c>
    </row>
    <row r="103" spans="5:17" x14ac:dyDescent="0.25">
      <c r="E103" s="167">
        <v>2800</v>
      </c>
      <c r="F103" s="163">
        <f t="shared" si="18"/>
        <v>32</v>
      </c>
      <c r="G103" s="165">
        <f t="shared" si="19"/>
        <v>1016150</v>
      </c>
      <c r="H103" s="170">
        <f t="shared" ref="H103:H134" si="22">F103/MAX($F$72:$F$141)</f>
        <v>0.45714285714285713</v>
      </c>
      <c r="I103" s="170">
        <f t="shared" ref="I103:I134" si="23">G103/MAX($G$72:$G$141)</f>
        <v>0.98344171209735409</v>
      </c>
      <c r="K103" s="173">
        <f t="shared" si="17"/>
        <v>0.55714285714285716</v>
      </c>
      <c r="M103" s="190" t="s">
        <v>72</v>
      </c>
      <c r="N103" s="191">
        <f>SUM(N94:N102)</f>
        <v>70</v>
      </c>
      <c r="O103" s="192">
        <f t="shared" ref="O103:Q103" si="24">SUM(O94:O102)</f>
        <v>0.99999999999999989</v>
      </c>
      <c r="P103" s="194">
        <f t="shared" si="24"/>
        <v>1033259</v>
      </c>
      <c r="Q103" s="193">
        <f t="shared" si="24"/>
        <v>1.0000000000000002</v>
      </c>
    </row>
    <row r="104" spans="5:17" x14ac:dyDescent="0.25">
      <c r="E104" s="167">
        <v>2500</v>
      </c>
      <c r="F104" s="163">
        <f t="shared" si="18"/>
        <v>33</v>
      </c>
      <c r="G104" s="165">
        <f t="shared" si="19"/>
        <v>1018650</v>
      </c>
      <c r="H104" s="170">
        <f t="shared" si="22"/>
        <v>0.47142857142857142</v>
      </c>
      <c r="I104" s="170">
        <f t="shared" si="23"/>
        <v>0.98586124098604511</v>
      </c>
      <c r="K104" s="173">
        <f t="shared" si="17"/>
        <v>0.54285714285714293</v>
      </c>
    </row>
    <row r="105" spans="5:17" x14ac:dyDescent="0.25">
      <c r="E105" s="167">
        <v>1800</v>
      </c>
      <c r="F105" s="163">
        <f t="shared" si="18"/>
        <v>34</v>
      </c>
      <c r="G105" s="165">
        <f t="shared" si="19"/>
        <v>1020450</v>
      </c>
      <c r="H105" s="170">
        <f t="shared" si="22"/>
        <v>0.48571428571428571</v>
      </c>
      <c r="I105" s="170">
        <f t="shared" si="23"/>
        <v>0.98760330178590261</v>
      </c>
      <c r="K105" s="173">
        <f t="shared" si="17"/>
        <v>0.52857142857142858</v>
      </c>
    </row>
    <row r="106" spans="5:17" x14ac:dyDescent="0.25">
      <c r="E106" s="167">
        <v>1600</v>
      </c>
      <c r="F106" s="163">
        <f t="shared" si="18"/>
        <v>35</v>
      </c>
      <c r="G106" s="165">
        <f t="shared" si="19"/>
        <v>1022050</v>
      </c>
      <c r="H106" s="170">
        <f t="shared" si="22"/>
        <v>0.5</v>
      </c>
      <c r="I106" s="170">
        <f t="shared" si="23"/>
        <v>0.98915180027466487</v>
      </c>
      <c r="K106" s="173">
        <f t="shared" si="17"/>
        <v>0.51428571428571423</v>
      </c>
    </row>
    <row r="107" spans="5:17" x14ac:dyDescent="0.25">
      <c r="E107" s="167">
        <v>1300</v>
      </c>
      <c r="F107" s="163">
        <f t="shared" si="18"/>
        <v>36</v>
      </c>
      <c r="G107" s="165">
        <f t="shared" si="19"/>
        <v>1023350</v>
      </c>
      <c r="H107" s="170">
        <f t="shared" si="22"/>
        <v>0.51428571428571423</v>
      </c>
      <c r="I107" s="170">
        <f t="shared" si="23"/>
        <v>0.99040995529678422</v>
      </c>
      <c r="K107" s="173">
        <f t="shared" si="17"/>
        <v>0.5</v>
      </c>
    </row>
    <row r="108" spans="5:17" x14ac:dyDescent="0.25">
      <c r="E108" s="167">
        <v>1050</v>
      </c>
      <c r="F108" s="163">
        <f t="shared" si="18"/>
        <v>37</v>
      </c>
      <c r="G108" s="165">
        <f t="shared" si="19"/>
        <v>1024400</v>
      </c>
      <c r="H108" s="170">
        <f t="shared" si="22"/>
        <v>0.52857142857142858</v>
      </c>
      <c r="I108" s="170">
        <f t="shared" si="23"/>
        <v>0.99142615743003448</v>
      </c>
      <c r="K108" s="173">
        <f t="shared" si="17"/>
        <v>0.48571428571428577</v>
      </c>
    </row>
    <row r="109" spans="5:17" x14ac:dyDescent="0.25">
      <c r="E109" s="167">
        <v>990</v>
      </c>
      <c r="F109" s="163">
        <f t="shared" si="18"/>
        <v>38</v>
      </c>
      <c r="G109" s="165">
        <f t="shared" si="19"/>
        <v>1025390</v>
      </c>
      <c r="H109" s="170">
        <f t="shared" si="22"/>
        <v>0.54285714285714282</v>
      </c>
      <c r="I109" s="170">
        <f t="shared" si="23"/>
        <v>0.99238429086995616</v>
      </c>
      <c r="J109" s="171" t="s">
        <v>101</v>
      </c>
      <c r="K109" s="173">
        <f t="shared" si="17"/>
        <v>0.47142857142857142</v>
      </c>
    </row>
    <row r="110" spans="5:17" x14ac:dyDescent="0.25">
      <c r="E110" s="167">
        <v>950</v>
      </c>
      <c r="F110" s="163">
        <f t="shared" si="18"/>
        <v>39</v>
      </c>
      <c r="G110" s="165">
        <f t="shared" si="19"/>
        <v>1026340</v>
      </c>
      <c r="H110" s="170">
        <f t="shared" si="22"/>
        <v>0.55714285714285716</v>
      </c>
      <c r="I110" s="170">
        <f t="shared" si="23"/>
        <v>0.99330371184765875</v>
      </c>
      <c r="K110" s="173">
        <f t="shared" si="17"/>
        <v>0.45714285714285718</v>
      </c>
    </row>
    <row r="111" spans="5:17" x14ac:dyDescent="0.25">
      <c r="E111" s="167">
        <v>850</v>
      </c>
      <c r="F111" s="163">
        <f t="shared" si="18"/>
        <v>40</v>
      </c>
      <c r="G111" s="165">
        <f t="shared" si="19"/>
        <v>1027190</v>
      </c>
      <c r="H111" s="170">
        <f t="shared" si="22"/>
        <v>0.5714285714285714</v>
      </c>
      <c r="I111" s="170">
        <f t="shared" si="23"/>
        <v>0.99412635166981367</v>
      </c>
      <c r="K111" s="173">
        <f t="shared" si="17"/>
        <v>0.44285714285714284</v>
      </c>
    </row>
    <row r="112" spans="5:17" x14ac:dyDescent="0.25">
      <c r="E112" s="167">
        <v>750</v>
      </c>
      <c r="F112" s="163">
        <f t="shared" si="18"/>
        <v>41</v>
      </c>
      <c r="G112" s="165">
        <f t="shared" si="19"/>
        <v>1027940</v>
      </c>
      <c r="H112" s="170">
        <f t="shared" si="22"/>
        <v>0.58571428571428574</v>
      </c>
      <c r="I112" s="170">
        <f t="shared" si="23"/>
        <v>0.99485221033642102</v>
      </c>
      <c r="K112" s="173">
        <f t="shared" si="17"/>
        <v>0.4285714285714286</v>
      </c>
    </row>
    <row r="113" spans="5:11" x14ac:dyDescent="0.25">
      <c r="E113" s="167">
        <v>600</v>
      </c>
      <c r="F113" s="163">
        <f t="shared" si="18"/>
        <v>42</v>
      </c>
      <c r="G113" s="165">
        <f t="shared" si="19"/>
        <v>1028540</v>
      </c>
      <c r="H113" s="170">
        <f t="shared" si="22"/>
        <v>0.6</v>
      </c>
      <c r="I113" s="170">
        <f t="shared" si="23"/>
        <v>0.99543289726970685</v>
      </c>
      <c r="K113" s="173">
        <f t="shared" si="17"/>
        <v>0.41428571428571426</v>
      </c>
    </row>
    <row r="114" spans="5:11" x14ac:dyDescent="0.25">
      <c r="E114" s="167">
        <v>550</v>
      </c>
      <c r="F114" s="163">
        <f t="shared" si="18"/>
        <v>43</v>
      </c>
      <c r="G114" s="165">
        <f t="shared" si="19"/>
        <v>1029090</v>
      </c>
      <c r="H114" s="170">
        <f t="shared" si="22"/>
        <v>0.61428571428571432</v>
      </c>
      <c r="I114" s="170">
        <f t="shared" si="23"/>
        <v>0.99596519362521885</v>
      </c>
      <c r="K114" s="173">
        <f t="shared" si="17"/>
        <v>0.4</v>
      </c>
    </row>
    <row r="115" spans="5:11" x14ac:dyDescent="0.25">
      <c r="E115" s="167">
        <v>520</v>
      </c>
      <c r="F115" s="163">
        <f t="shared" si="18"/>
        <v>44</v>
      </c>
      <c r="G115" s="165">
        <f t="shared" si="19"/>
        <v>1029610</v>
      </c>
      <c r="H115" s="170">
        <f t="shared" si="22"/>
        <v>0.62857142857142856</v>
      </c>
      <c r="I115" s="170">
        <f t="shared" si="23"/>
        <v>0.99646845563406661</v>
      </c>
      <c r="K115" s="173">
        <f t="shared" si="17"/>
        <v>0.38571428571428568</v>
      </c>
    </row>
    <row r="116" spans="5:11" x14ac:dyDescent="0.25">
      <c r="E116" s="167">
        <v>490</v>
      </c>
      <c r="F116" s="163">
        <f t="shared" si="18"/>
        <v>45</v>
      </c>
      <c r="G116" s="165">
        <f t="shared" si="19"/>
        <v>1030100</v>
      </c>
      <c r="H116" s="170">
        <f t="shared" si="22"/>
        <v>0.6428571428571429</v>
      </c>
      <c r="I116" s="170">
        <f t="shared" si="23"/>
        <v>0.99694268329625002</v>
      </c>
      <c r="J116" s="171" t="s">
        <v>100</v>
      </c>
      <c r="K116" s="173">
        <f t="shared" si="17"/>
        <v>0.37142857142857144</v>
      </c>
    </row>
    <row r="117" spans="5:11" x14ac:dyDescent="0.25">
      <c r="E117" s="167">
        <v>450</v>
      </c>
      <c r="F117" s="163">
        <f t="shared" si="18"/>
        <v>46</v>
      </c>
      <c r="G117" s="165">
        <f t="shared" si="19"/>
        <v>1030550</v>
      </c>
      <c r="H117" s="170">
        <f t="shared" si="22"/>
        <v>0.65714285714285714</v>
      </c>
      <c r="I117" s="170">
        <f t="shared" si="23"/>
        <v>0.99737819849621445</v>
      </c>
      <c r="K117" s="173">
        <f t="shared" si="17"/>
        <v>0.3571428571428571</v>
      </c>
    </row>
    <row r="118" spans="5:11" x14ac:dyDescent="0.25">
      <c r="E118" s="167">
        <v>380</v>
      </c>
      <c r="F118" s="163">
        <f t="shared" si="18"/>
        <v>47</v>
      </c>
      <c r="G118" s="165">
        <f t="shared" si="19"/>
        <v>1030930</v>
      </c>
      <c r="H118" s="170">
        <f t="shared" si="22"/>
        <v>0.67142857142857137</v>
      </c>
      <c r="I118" s="170">
        <f t="shared" si="23"/>
        <v>0.99774596688729544</v>
      </c>
      <c r="K118" s="173">
        <f t="shared" si="17"/>
        <v>0.34285714285714286</v>
      </c>
    </row>
    <row r="119" spans="5:11" x14ac:dyDescent="0.25">
      <c r="E119" s="167">
        <v>300</v>
      </c>
      <c r="F119" s="163">
        <f t="shared" si="18"/>
        <v>48</v>
      </c>
      <c r="G119" s="165">
        <f t="shared" si="19"/>
        <v>1031230</v>
      </c>
      <c r="H119" s="170">
        <f t="shared" si="22"/>
        <v>0.68571428571428572</v>
      </c>
      <c r="I119" s="170">
        <f t="shared" si="23"/>
        <v>0.99803631035393836</v>
      </c>
      <c r="K119" s="173">
        <f t="shared" si="17"/>
        <v>0.32857142857142863</v>
      </c>
    </row>
    <row r="120" spans="5:11" x14ac:dyDescent="0.25">
      <c r="E120" s="167">
        <v>280</v>
      </c>
      <c r="F120" s="163">
        <f t="shared" si="18"/>
        <v>49</v>
      </c>
      <c r="G120" s="165">
        <f t="shared" si="19"/>
        <v>1031510</v>
      </c>
      <c r="H120" s="170">
        <f t="shared" si="22"/>
        <v>0.7</v>
      </c>
      <c r="I120" s="170">
        <f t="shared" si="23"/>
        <v>0.99830729758947179</v>
      </c>
      <c r="K120" s="173">
        <f t="shared" si="17"/>
        <v>0.31428571428571428</v>
      </c>
    </row>
    <row r="121" spans="5:11" x14ac:dyDescent="0.25">
      <c r="E121" s="167">
        <v>250</v>
      </c>
      <c r="F121" s="163">
        <f t="shared" si="18"/>
        <v>50</v>
      </c>
      <c r="G121" s="165">
        <f t="shared" si="19"/>
        <v>1031760</v>
      </c>
      <c r="H121" s="170">
        <f t="shared" si="22"/>
        <v>0.7142857142857143</v>
      </c>
      <c r="I121" s="170">
        <f t="shared" si="23"/>
        <v>0.99854925047834087</v>
      </c>
      <c r="K121" s="173">
        <f t="shared" si="17"/>
        <v>0.30000000000000004</v>
      </c>
    </row>
    <row r="122" spans="5:11" x14ac:dyDescent="0.25">
      <c r="E122" s="167">
        <v>210</v>
      </c>
      <c r="F122" s="163">
        <f t="shared" si="18"/>
        <v>51</v>
      </c>
      <c r="G122" s="165">
        <f t="shared" si="19"/>
        <v>1031970</v>
      </c>
      <c r="H122" s="170">
        <f t="shared" si="22"/>
        <v>0.72857142857142854</v>
      </c>
      <c r="I122" s="170">
        <f t="shared" si="23"/>
        <v>0.99875249090499085</v>
      </c>
      <c r="K122" s="173">
        <f t="shared" si="17"/>
        <v>0.2857142857142857</v>
      </c>
    </row>
    <row r="123" spans="5:11" x14ac:dyDescent="0.25">
      <c r="E123" s="167">
        <v>195</v>
      </c>
      <c r="F123" s="163">
        <f t="shared" si="18"/>
        <v>52</v>
      </c>
      <c r="G123" s="165">
        <f t="shared" si="19"/>
        <v>1032165</v>
      </c>
      <c r="H123" s="170">
        <f t="shared" si="22"/>
        <v>0.74285714285714288</v>
      </c>
      <c r="I123" s="170">
        <f t="shared" si="23"/>
        <v>0.99894121415830883</v>
      </c>
      <c r="J123" s="171" t="s">
        <v>99</v>
      </c>
      <c r="K123" s="173">
        <f t="shared" si="17"/>
        <v>0.27142857142857146</v>
      </c>
    </row>
    <row r="124" spans="5:11" x14ac:dyDescent="0.25">
      <c r="E124" s="167">
        <v>180</v>
      </c>
      <c r="F124" s="163">
        <f t="shared" si="18"/>
        <v>53</v>
      </c>
      <c r="G124" s="165">
        <f t="shared" si="19"/>
        <v>1032345</v>
      </c>
      <c r="H124" s="170">
        <f t="shared" si="22"/>
        <v>0.75714285714285712</v>
      </c>
      <c r="I124" s="170">
        <f t="shared" si="23"/>
        <v>0.99911542023829458</v>
      </c>
      <c r="K124" s="173">
        <f t="shared" si="17"/>
        <v>0.25714285714285712</v>
      </c>
    </row>
    <row r="125" spans="5:11" x14ac:dyDescent="0.25">
      <c r="E125" s="167">
        <v>150</v>
      </c>
      <c r="F125" s="163">
        <f t="shared" si="18"/>
        <v>54</v>
      </c>
      <c r="G125" s="165">
        <f t="shared" si="19"/>
        <v>1032495</v>
      </c>
      <c r="H125" s="170">
        <f t="shared" si="22"/>
        <v>0.77142857142857146</v>
      </c>
      <c r="I125" s="170">
        <f t="shared" si="23"/>
        <v>0.99926059197161599</v>
      </c>
      <c r="K125" s="173">
        <f t="shared" si="17"/>
        <v>0.24285714285714288</v>
      </c>
    </row>
    <row r="126" spans="5:11" x14ac:dyDescent="0.25">
      <c r="E126" s="167">
        <v>130</v>
      </c>
      <c r="F126" s="163">
        <f t="shared" si="18"/>
        <v>55</v>
      </c>
      <c r="G126" s="165">
        <f t="shared" si="19"/>
        <v>1032625</v>
      </c>
      <c r="H126" s="170">
        <f t="shared" si="22"/>
        <v>0.7857142857142857</v>
      </c>
      <c r="I126" s="170">
        <f t="shared" si="23"/>
        <v>0.99938640747382801</v>
      </c>
      <c r="K126" s="173">
        <f t="shared" si="17"/>
        <v>0.22857142857142854</v>
      </c>
    </row>
    <row r="127" spans="5:11" x14ac:dyDescent="0.25">
      <c r="E127" s="167">
        <v>110</v>
      </c>
      <c r="F127" s="163">
        <f t="shared" si="18"/>
        <v>56</v>
      </c>
      <c r="G127" s="165">
        <f t="shared" si="19"/>
        <v>1032735</v>
      </c>
      <c r="H127" s="170">
        <f t="shared" si="22"/>
        <v>0.8</v>
      </c>
      <c r="I127" s="170">
        <f t="shared" si="23"/>
        <v>0.99949286674493032</v>
      </c>
      <c r="K127" s="173">
        <f t="shared" si="17"/>
        <v>0.2142857142857143</v>
      </c>
    </row>
    <row r="128" spans="5:11" x14ac:dyDescent="0.25">
      <c r="E128" s="167">
        <v>95</v>
      </c>
      <c r="F128" s="163">
        <f t="shared" si="18"/>
        <v>57</v>
      </c>
      <c r="G128" s="165">
        <f t="shared" si="19"/>
        <v>1032830</v>
      </c>
      <c r="H128" s="170">
        <f t="shared" si="22"/>
        <v>0.81428571428571428</v>
      </c>
      <c r="I128" s="170">
        <f t="shared" si="23"/>
        <v>0.99958480884270062</v>
      </c>
      <c r="J128" s="171" t="s">
        <v>98</v>
      </c>
      <c r="K128" s="173">
        <f t="shared" si="17"/>
        <v>0.19999999999999996</v>
      </c>
    </row>
    <row r="129" spans="4:11" x14ac:dyDescent="0.25">
      <c r="E129" s="167">
        <v>89</v>
      </c>
      <c r="F129" s="163">
        <f t="shared" si="18"/>
        <v>58</v>
      </c>
      <c r="G129" s="165">
        <f t="shared" si="19"/>
        <v>1032919</v>
      </c>
      <c r="H129" s="170">
        <f t="shared" si="22"/>
        <v>0.82857142857142863</v>
      </c>
      <c r="I129" s="170">
        <f t="shared" si="23"/>
        <v>0.99967094407113799</v>
      </c>
      <c r="K129" s="173">
        <f t="shared" si="17"/>
        <v>0.18571428571428572</v>
      </c>
    </row>
    <row r="130" spans="4:11" x14ac:dyDescent="0.25">
      <c r="E130" s="167">
        <v>75</v>
      </c>
      <c r="F130" s="163">
        <f t="shared" si="18"/>
        <v>59</v>
      </c>
      <c r="G130" s="165">
        <f t="shared" si="19"/>
        <v>1032994</v>
      </c>
      <c r="H130" s="170">
        <f t="shared" si="22"/>
        <v>0.84285714285714286</v>
      </c>
      <c r="I130" s="170">
        <f t="shared" si="23"/>
        <v>0.9997435299377988</v>
      </c>
      <c r="K130" s="173">
        <f t="shared" si="17"/>
        <v>0.17142857142857137</v>
      </c>
    </row>
    <row r="131" spans="4:11" x14ac:dyDescent="0.25">
      <c r="E131" s="167">
        <v>60</v>
      </c>
      <c r="F131" s="163">
        <f t="shared" si="18"/>
        <v>60</v>
      </c>
      <c r="G131" s="165">
        <f t="shared" si="19"/>
        <v>1033054</v>
      </c>
      <c r="H131" s="170">
        <f t="shared" si="22"/>
        <v>0.8571428571428571</v>
      </c>
      <c r="I131" s="170">
        <f t="shared" si="23"/>
        <v>0.99980159863112739</v>
      </c>
      <c r="K131" s="173">
        <f t="shared" si="17"/>
        <v>0.15714285714285714</v>
      </c>
    </row>
    <row r="132" spans="4:11" x14ac:dyDescent="0.25">
      <c r="D132" s="171" t="s">
        <v>105</v>
      </c>
      <c r="E132" s="166">
        <v>55</v>
      </c>
      <c r="F132" s="163">
        <f t="shared" si="18"/>
        <v>61</v>
      </c>
      <c r="G132" s="165">
        <f t="shared" si="19"/>
        <v>1033109</v>
      </c>
      <c r="H132" s="170">
        <f t="shared" si="22"/>
        <v>0.87142857142857144</v>
      </c>
      <c r="I132" s="170">
        <f t="shared" si="23"/>
        <v>0.99985482826667849</v>
      </c>
      <c r="K132" s="173">
        <f t="shared" si="17"/>
        <v>0.1428571428571429</v>
      </c>
    </row>
    <row r="133" spans="4:11" x14ac:dyDescent="0.25">
      <c r="D133" s="171" t="s">
        <v>104</v>
      </c>
      <c r="E133" s="166">
        <v>45</v>
      </c>
      <c r="F133" s="163">
        <f t="shared" si="18"/>
        <v>62</v>
      </c>
      <c r="G133" s="165">
        <f t="shared" si="19"/>
        <v>1033154</v>
      </c>
      <c r="H133" s="170">
        <f t="shared" si="22"/>
        <v>0.88571428571428568</v>
      </c>
      <c r="I133" s="170">
        <f t="shared" si="23"/>
        <v>0.99989837978667495</v>
      </c>
      <c r="J133" s="171" t="s">
        <v>97</v>
      </c>
      <c r="K133" s="173">
        <f t="shared" si="17"/>
        <v>0.12857142857142856</v>
      </c>
    </row>
    <row r="134" spans="4:11" x14ac:dyDescent="0.25">
      <c r="D134" s="171" t="s">
        <v>103</v>
      </c>
      <c r="E134" s="166">
        <v>30</v>
      </c>
      <c r="F134" s="163">
        <f t="shared" si="18"/>
        <v>63</v>
      </c>
      <c r="G134" s="165">
        <f t="shared" si="19"/>
        <v>1033184</v>
      </c>
      <c r="H134" s="170">
        <f t="shared" si="22"/>
        <v>0.9</v>
      </c>
      <c r="I134" s="170">
        <f t="shared" si="23"/>
        <v>0.9999274141333393</v>
      </c>
      <c r="K134" s="173">
        <f t="shared" si="17"/>
        <v>0.11428571428571432</v>
      </c>
    </row>
    <row r="135" spans="4:11" x14ac:dyDescent="0.25">
      <c r="D135" s="171" t="s">
        <v>102</v>
      </c>
      <c r="E135" s="166">
        <v>25</v>
      </c>
      <c r="F135" s="163">
        <f t="shared" si="18"/>
        <v>64</v>
      </c>
      <c r="G135" s="165">
        <f t="shared" si="19"/>
        <v>1033209</v>
      </c>
      <c r="H135" s="170">
        <f t="shared" ref="H135:H141" si="25">F135/MAX($F$72:$F$141)</f>
        <v>0.91428571428571426</v>
      </c>
      <c r="I135" s="170">
        <f t="shared" ref="I135:I141" si="26">G135/MAX($G$72:$G$141)</f>
        <v>0.99995160942222616</v>
      </c>
      <c r="K135" s="173">
        <f t="shared" si="17"/>
        <v>9.9999999999999978E-2</v>
      </c>
    </row>
    <row r="136" spans="4:11" x14ac:dyDescent="0.25">
      <c r="D136" s="171" t="s">
        <v>101</v>
      </c>
      <c r="E136" s="164">
        <v>15</v>
      </c>
      <c r="F136" s="163">
        <f t="shared" si="18"/>
        <v>65</v>
      </c>
      <c r="G136" s="165">
        <f t="shared" si="19"/>
        <v>1033224</v>
      </c>
      <c r="H136" s="170">
        <f t="shared" si="25"/>
        <v>0.9285714285714286</v>
      </c>
      <c r="I136" s="170">
        <f t="shared" si="26"/>
        <v>0.99996612659555828</v>
      </c>
      <c r="K136" s="173">
        <f t="shared" si="17"/>
        <v>8.5714285714285743E-2</v>
      </c>
    </row>
    <row r="137" spans="4:11" x14ac:dyDescent="0.25">
      <c r="D137" s="171" t="s">
        <v>100</v>
      </c>
      <c r="E137" s="164">
        <v>12</v>
      </c>
      <c r="F137" s="163">
        <f t="shared" si="18"/>
        <v>66</v>
      </c>
      <c r="G137" s="165">
        <f t="shared" si="19"/>
        <v>1033236</v>
      </c>
      <c r="H137" s="170">
        <f t="shared" si="25"/>
        <v>0.94285714285714284</v>
      </c>
      <c r="I137" s="170">
        <f t="shared" si="26"/>
        <v>0.99997774033422404</v>
      </c>
      <c r="K137" s="173">
        <f t="shared" ref="K137:K141" si="27">1-H136</f>
        <v>7.1428571428571397E-2</v>
      </c>
    </row>
    <row r="138" spans="4:11" x14ac:dyDescent="0.25">
      <c r="D138" s="171" t="s">
        <v>99</v>
      </c>
      <c r="E138" s="164">
        <v>10</v>
      </c>
      <c r="F138" s="163">
        <f t="shared" ref="F138:F141" si="28">F137+1</f>
        <v>67</v>
      </c>
      <c r="G138" s="165">
        <f t="shared" ref="G138:G141" si="29">G137+E138</f>
        <v>1033246</v>
      </c>
      <c r="H138" s="170">
        <f t="shared" si="25"/>
        <v>0.95714285714285718</v>
      </c>
      <c r="I138" s="170">
        <f t="shared" si="26"/>
        <v>0.99998741844977879</v>
      </c>
      <c r="K138" s="173">
        <f t="shared" si="27"/>
        <v>5.7142857142857162E-2</v>
      </c>
    </row>
    <row r="139" spans="4:11" x14ac:dyDescent="0.25">
      <c r="D139" s="171" t="s">
        <v>98</v>
      </c>
      <c r="E139" s="164">
        <v>7</v>
      </c>
      <c r="F139" s="163">
        <f t="shared" si="28"/>
        <v>68</v>
      </c>
      <c r="G139" s="165">
        <f t="shared" si="29"/>
        <v>1033253</v>
      </c>
      <c r="H139" s="170">
        <f t="shared" si="25"/>
        <v>0.97142857142857142</v>
      </c>
      <c r="I139" s="170">
        <f t="shared" si="26"/>
        <v>0.99999419313066717</v>
      </c>
      <c r="K139" s="173">
        <f t="shared" si="27"/>
        <v>4.2857142857142816E-2</v>
      </c>
    </row>
    <row r="140" spans="4:11" x14ac:dyDescent="0.25">
      <c r="D140" s="171" t="s">
        <v>97</v>
      </c>
      <c r="E140" s="164">
        <v>5</v>
      </c>
      <c r="F140" s="163">
        <f t="shared" si="28"/>
        <v>69</v>
      </c>
      <c r="G140" s="165">
        <f t="shared" si="29"/>
        <v>1033258</v>
      </c>
      <c r="H140" s="170">
        <f t="shared" si="25"/>
        <v>0.98571428571428577</v>
      </c>
      <c r="I140" s="170">
        <f t="shared" si="26"/>
        <v>0.99999903218844455</v>
      </c>
      <c r="K140" s="173">
        <f t="shared" si="27"/>
        <v>2.8571428571428581E-2</v>
      </c>
    </row>
    <row r="141" spans="4:11" x14ac:dyDescent="0.25">
      <c r="E141" s="164">
        <v>1</v>
      </c>
      <c r="F141" s="163">
        <f t="shared" si="28"/>
        <v>70</v>
      </c>
      <c r="G141" s="165">
        <f t="shared" si="29"/>
        <v>1033259</v>
      </c>
      <c r="H141" s="170">
        <f t="shared" si="25"/>
        <v>1</v>
      </c>
      <c r="I141" s="170">
        <f t="shared" si="26"/>
        <v>1</v>
      </c>
      <c r="K141" s="173">
        <f t="shared" si="27"/>
        <v>1.4285714285714235E-2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/>
  <dimension ref="A1:N10"/>
  <sheetViews>
    <sheetView topLeftCell="D1" zoomScale="85" zoomScaleNormal="85" workbookViewId="0">
      <pane xSplit="1" ySplit="1" topLeftCell="E35" activePane="bottomRight" state="frozen"/>
      <selection activeCell="D1" sqref="D1"/>
      <selection pane="topRight" activeCell="E1" sqref="E1"/>
      <selection pane="bottomLeft" activeCell="D2" sqref="D2"/>
      <selection pane="bottomRight" activeCell="M32" sqref="M32"/>
    </sheetView>
  </sheetViews>
  <sheetFormatPr baseColWidth="10" defaultRowHeight="15" outlineLevelCol="1" x14ac:dyDescent="0.25"/>
  <cols>
    <col min="1" max="1" width="13" hidden="1" customWidth="1" outlineLevel="1"/>
    <col min="2" max="2" width="11.28515625" hidden="1" customWidth="1" outlineLevel="1"/>
    <col min="3" max="3" width="13" hidden="1" customWidth="1" outlineLevel="1"/>
    <col min="4" max="4" width="53.7109375" customWidth="1" collapsed="1"/>
  </cols>
  <sheetData>
    <row r="1" spans="1:14" x14ac:dyDescent="0.25">
      <c r="A1" s="8"/>
      <c r="B1" s="8"/>
      <c r="C1" s="7" t="s">
        <v>12</v>
      </c>
      <c r="D1" s="18" t="s">
        <v>9</v>
      </c>
      <c r="E1" s="15">
        <f>MEMO!B6-2</f>
        <v>2015</v>
      </c>
      <c r="F1" s="21">
        <f>E1+1</f>
        <v>2016</v>
      </c>
      <c r="G1" s="21">
        <f t="shared" ref="G1:N1" si="0">F1+1</f>
        <v>2017</v>
      </c>
      <c r="H1" s="21">
        <f t="shared" si="0"/>
        <v>2018</v>
      </c>
      <c r="I1" s="21">
        <f t="shared" si="0"/>
        <v>2019</v>
      </c>
      <c r="J1" s="21">
        <f t="shared" si="0"/>
        <v>2020</v>
      </c>
      <c r="K1" s="21">
        <f t="shared" si="0"/>
        <v>2021</v>
      </c>
      <c r="L1" s="21">
        <f t="shared" si="0"/>
        <v>2022</v>
      </c>
      <c r="M1" s="21">
        <f t="shared" si="0"/>
        <v>2023</v>
      </c>
      <c r="N1" s="21">
        <f t="shared" si="0"/>
        <v>2024</v>
      </c>
    </row>
    <row r="2" spans="1:14" ht="30" x14ac:dyDescent="0.25">
      <c r="A2" s="10" t="s">
        <v>10</v>
      </c>
      <c r="B2" s="16" t="s">
        <v>19</v>
      </c>
      <c r="C2" s="11">
        <v>1</v>
      </c>
      <c r="D2" s="35" t="s">
        <v>18</v>
      </c>
      <c r="E2" s="36">
        <v>0.35357142857142854</v>
      </c>
      <c r="F2" s="36">
        <v>0.23571428571428571</v>
      </c>
      <c r="G2" s="36">
        <v>0.47142857142857142</v>
      </c>
      <c r="H2" s="36">
        <v>0.31428571428571428</v>
      </c>
      <c r="I2" s="36">
        <v>0.55000000000000004</v>
      </c>
      <c r="J2" s="36">
        <v>0.39285714285714285</v>
      </c>
      <c r="K2" s="36">
        <v>0.62857142857142856</v>
      </c>
      <c r="L2" s="36">
        <v>0.47142857142857142</v>
      </c>
      <c r="M2" s="36">
        <v>0.70714285714285707</v>
      </c>
      <c r="N2" s="37">
        <v>0.55000000000000004</v>
      </c>
    </row>
    <row r="3" spans="1:14" x14ac:dyDescent="0.25">
      <c r="A3" s="10" t="s">
        <v>10</v>
      </c>
      <c r="B3" s="10" t="s">
        <v>7</v>
      </c>
      <c r="C3" s="11">
        <v>2</v>
      </c>
      <c r="D3" s="38" t="s">
        <v>21</v>
      </c>
      <c r="E3" s="39">
        <f>E2*0.4654</f>
        <v>0.16455214285714284</v>
      </c>
      <c r="F3" s="39">
        <f t="shared" ref="F3:N3" si="1">F2*0.4654</f>
        <v>0.10970142857142856</v>
      </c>
      <c r="G3" s="39">
        <f t="shared" si="1"/>
        <v>0.21940285714285712</v>
      </c>
      <c r="H3" s="39">
        <f t="shared" si="1"/>
        <v>0.14626857142857141</v>
      </c>
      <c r="I3" s="39">
        <f t="shared" si="1"/>
        <v>0.25597000000000003</v>
      </c>
      <c r="J3" s="39">
        <f t="shared" si="1"/>
        <v>0.18283571428571427</v>
      </c>
      <c r="K3" s="39">
        <f t="shared" si="1"/>
        <v>0.29253714285714283</v>
      </c>
      <c r="L3" s="39">
        <f t="shared" si="1"/>
        <v>0.21940285714285712</v>
      </c>
      <c r="M3" s="39">
        <f t="shared" si="1"/>
        <v>0.32910428571428568</v>
      </c>
      <c r="N3" s="40">
        <f t="shared" si="1"/>
        <v>0.25597000000000003</v>
      </c>
    </row>
    <row r="4" spans="1:14" x14ac:dyDescent="0.25">
      <c r="A4" s="10" t="s">
        <v>10</v>
      </c>
      <c r="B4" s="10" t="s">
        <v>7</v>
      </c>
      <c r="C4" s="11">
        <v>2</v>
      </c>
      <c r="D4" s="38" t="s">
        <v>20</v>
      </c>
      <c r="E4" s="39">
        <f>(E2*0.1324)+(E3+0.1231)*0.68768</f>
        <v>0.24462548274285711</v>
      </c>
      <c r="F4" s="39">
        <f t="shared" ref="F4:N4" si="2">(F2*0.1324)+(F3+0.1231)*0.68768</f>
        <v>0.19130145782857139</v>
      </c>
      <c r="G4" s="39">
        <f t="shared" si="2"/>
        <v>0.29794950765714279</v>
      </c>
      <c r="H4" s="39">
        <f t="shared" si="2"/>
        <v>0.22685080777142855</v>
      </c>
      <c r="I4" s="39">
        <f t="shared" si="2"/>
        <v>0.33349885759999998</v>
      </c>
      <c r="J4" s="39">
        <f t="shared" si="2"/>
        <v>0.26240015771428571</v>
      </c>
      <c r="K4" s="39">
        <f t="shared" si="2"/>
        <v>0.36904820754285711</v>
      </c>
      <c r="L4" s="39">
        <f t="shared" si="2"/>
        <v>0.29794950765714279</v>
      </c>
      <c r="M4" s="39">
        <f t="shared" si="2"/>
        <v>0.40459755748571419</v>
      </c>
      <c r="N4" s="40">
        <f t="shared" si="2"/>
        <v>0.33349885759999998</v>
      </c>
    </row>
    <row r="5" spans="1:14" x14ac:dyDescent="0.25">
      <c r="A5" s="10"/>
      <c r="B5" s="10"/>
      <c r="C5" s="11"/>
      <c r="D5" s="41"/>
      <c r="E5" s="42"/>
      <c r="F5" s="42"/>
      <c r="G5" s="42"/>
      <c r="H5" s="42"/>
      <c r="I5" s="42"/>
      <c r="J5" s="42"/>
      <c r="K5" s="42"/>
      <c r="L5" s="43"/>
      <c r="M5" s="43"/>
      <c r="N5" s="44"/>
    </row>
    <row r="6" spans="1:14" x14ac:dyDescent="0.25">
      <c r="A6" s="10"/>
      <c r="B6" s="10"/>
      <c r="C6" s="11"/>
      <c r="D6" s="45" t="s">
        <v>50</v>
      </c>
      <c r="E6" s="46">
        <f>E3+E4</f>
        <v>0.40917762559999993</v>
      </c>
      <c r="F6" s="46">
        <f t="shared" ref="F6:N6" si="3">F3+F4</f>
        <v>0.30100288639999995</v>
      </c>
      <c r="G6" s="46">
        <f t="shared" si="3"/>
        <v>0.51735236479999991</v>
      </c>
      <c r="H6" s="46">
        <f t="shared" si="3"/>
        <v>0.37311937919999993</v>
      </c>
      <c r="I6" s="46">
        <f t="shared" si="3"/>
        <v>0.58946885760000001</v>
      </c>
      <c r="J6" s="46">
        <f t="shared" si="3"/>
        <v>0.44523587199999998</v>
      </c>
      <c r="K6" s="46">
        <f t="shared" si="3"/>
        <v>0.66158535039999999</v>
      </c>
      <c r="L6" s="46">
        <f t="shared" si="3"/>
        <v>0.51735236479999991</v>
      </c>
      <c r="M6" s="46">
        <f t="shared" si="3"/>
        <v>0.73370184319999987</v>
      </c>
      <c r="N6" s="47">
        <f t="shared" si="3"/>
        <v>0.58946885760000001</v>
      </c>
    </row>
    <row r="7" spans="1:14" x14ac:dyDescent="0.25">
      <c r="A7" s="10"/>
      <c r="B7" s="10"/>
      <c r="C7" s="11"/>
      <c r="D7" s="12"/>
      <c r="E7" s="13"/>
      <c r="F7" s="13"/>
      <c r="G7" s="13"/>
      <c r="H7" s="13"/>
      <c r="I7" s="13"/>
      <c r="J7" s="13"/>
      <c r="K7" s="13"/>
      <c r="L7" s="8"/>
      <c r="M7" s="8"/>
      <c r="N7" s="8"/>
    </row>
    <row r="8" spans="1:14" x14ac:dyDescent="0.25">
      <c r="A8" s="10"/>
      <c r="B8" s="10"/>
      <c r="C8" s="11"/>
      <c r="D8" s="12"/>
      <c r="E8" s="13"/>
      <c r="F8" s="13"/>
      <c r="G8" s="13"/>
      <c r="H8" s="13"/>
      <c r="I8" s="13"/>
      <c r="J8" s="13"/>
      <c r="K8" s="13"/>
      <c r="L8" s="8"/>
      <c r="M8" s="8"/>
      <c r="N8" s="8"/>
    </row>
    <row r="9" spans="1:14" x14ac:dyDescent="0.25">
      <c r="A9" s="10"/>
      <c r="B9" s="10"/>
      <c r="C9" s="11"/>
      <c r="D9" s="12"/>
      <c r="E9" s="13"/>
      <c r="F9" s="13"/>
      <c r="G9" s="13"/>
      <c r="H9" s="13"/>
      <c r="I9" s="13"/>
      <c r="J9" s="13"/>
      <c r="K9" s="13"/>
      <c r="L9" s="8"/>
      <c r="M9" s="8"/>
      <c r="N9" s="8"/>
    </row>
    <row r="10" spans="1:14" x14ac:dyDescent="0.25">
      <c r="A10" s="10"/>
      <c r="B10" s="10"/>
      <c r="C10" s="11"/>
      <c r="D10" s="12"/>
      <c r="E10" s="13"/>
      <c r="F10" s="13"/>
      <c r="G10" s="13"/>
      <c r="H10" s="13"/>
      <c r="I10" s="13"/>
      <c r="J10" s="13"/>
      <c r="K10" s="13"/>
      <c r="L10" s="8"/>
      <c r="M10" s="8"/>
      <c r="N10" s="8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/>
  <dimension ref="A1:N9"/>
  <sheetViews>
    <sheetView topLeftCell="D1" zoomScale="70" zoomScaleNormal="70" workbookViewId="0">
      <selection activeCell="S23" sqref="S23"/>
    </sheetView>
  </sheetViews>
  <sheetFormatPr baseColWidth="10" defaultRowHeight="15" outlineLevelCol="1" x14ac:dyDescent="0.25"/>
  <cols>
    <col min="1" max="1" width="13" hidden="1" customWidth="1" outlineLevel="1"/>
    <col min="2" max="2" width="13.85546875" hidden="1" customWidth="1" outlineLevel="1"/>
    <col min="3" max="3" width="13" hidden="1" customWidth="1" outlineLevel="1"/>
    <col min="4" max="4" width="53.7109375" customWidth="1" collapsed="1"/>
  </cols>
  <sheetData>
    <row r="1" spans="1:14" x14ac:dyDescent="0.25">
      <c r="A1" s="13"/>
      <c r="B1" s="13"/>
      <c r="C1" s="11" t="s">
        <v>12</v>
      </c>
      <c r="D1" s="18" t="s">
        <v>9</v>
      </c>
      <c r="E1" s="19">
        <f>MEMO!B6-2</f>
        <v>2015</v>
      </c>
      <c r="F1" s="20">
        <f>E1+1</f>
        <v>2016</v>
      </c>
      <c r="G1" s="20">
        <f t="shared" ref="G1:N1" si="0">F1+1</f>
        <v>2017</v>
      </c>
      <c r="H1" s="20">
        <f t="shared" si="0"/>
        <v>2018</v>
      </c>
      <c r="I1" s="20">
        <f t="shared" si="0"/>
        <v>2019</v>
      </c>
      <c r="J1" s="20">
        <f t="shared" si="0"/>
        <v>2020</v>
      </c>
      <c r="K1" s="20">
        <f t="shared" si="0"/>
        <v>2021</v>
      </c>
      <c r="L1" s="20">
        <f t="shared" si="0"/>
        <v>2022</v>
      </c>
      <c r="M1" s="20">
        <f t="shared" si="0"/>
        <v>2023</v>
      </c>
      <c r="N1" s="20">
        <f t="shared" si="0"/>
        <v>2024</v>
      </c>
    </row>
    <row r="2" spans="1:14" ht="30" x14ac:dyDescent="0.25">
      <c r="A2" s="10" t="s">
        <v>10</v>
      </c>
      <c r="B2" s="16" t="s">
        <v>25</v>
      </c>
      <c r="C2" s="11">
        <v>1</v>
      </c>
      <c r="D2" s="48" t="s">
        <v>22</v>
      </c>
      <c r="E2" s="23">
        <v>9</v>
      </c>
      <c r="F2" s="23">
        <v>6</v>
      </c>
      <c r="G2" s="23">
        <v>12</v>
      </c>
      <c r="H2" s="23">
        <v>8</v>
      </c>
      <c r="I2" s="23">
        <v>14</v>
      </c>
      <c r="J2" s="23">
        <v>10</v>
      </c>
      <c r="K2" s="23">
        <v>16</v>
      </c>
      <c r="L2" s="23">
        <v>12</v>
      </c>
      <c r="M2" s="23">
        <v>18</v>
      </c>
      <c r="N2" s="24">
        <v>14</v>
      </c>
    </row>
    <row r="3" spans="1:14" ht="30" x14ac:dyDescent="0.25">
      <c r="A3" s="10" t="s">
        <v>10</v>
      </c>
      <c r="B3" s="16" t="s">
        <v>25</v>
      </c>
      <c r="C3" s="11">
        <v>2</v>
      </c>
      <c r="D3" s="49" t="s">
        <v>23</v>
      </c>
      <c r="E3" s="50">
        <f>E2*4-11</f>
        <v>25</v>
      </c>
      <c r="F3" s="50">
        <v>20</v>
      </c>
      <c r="G3" s="50">
        <f t="shared" ref="G3:N3" si="1">G2*4-11</f>
        <v>37</v>
      </c>
      <c r="H3" s="50">
        <f t="shared" si="1"/>
        <v>21</v>
      </c>
      <c r="I3" s="50">
        <f t="shared" si="1"/>
        <v>45</v>
      </c>
      <c r="J3" s="50">
        <f t="shared" si="1"/>
        <v>29</v>
      </c>
      <c r="K3" s="50">
        <f t="shared" si="1"/>
        <v>53</v>
      </c>
      <c r="L3" s="50">
        <f t="shared" si="1"/>
        <v>37</v>
      </c>
      <c r="M3" s="50">
        <f t="shared" si="1"/>
        <v>61</v>
      </c>
      <c r="N3" s="51">
        <f t="shared" si="1"/>
        <v>45</v>
      </c>
    </row>
    <row r="4" spans="1:14" ht="30" x14ac:dyDescent="0.25">
      <c r="A4" s="10" t="s">
        <v>10</v>
      </c>
      <c r="B4" s="16" t="s">
        <v>25</v>
      </c>
      <c r="C4" s="11">
        <v>3</v>
      </c>
      <c r="D4" s="49" t="s">
        <v>24</v>
      </c>
      <c r="E4" s="50">
        <f>E3-4</f>
        <v>21</v>
      </c>
      <c r="F4" s="50">
        <f t="shared" ref="F4:N4" si="2">F3-4</f>
        <v>16</v>
      </c>
      <c r="G4" s="50">
        <f t="shared" si="2"/>
        <v>33</v>
      </c>
      <c r="H4" s="50">
        <f t="shared" si="2"/>
        <v>17</v>
      </c>
      <c r="I4" s="50">
        <f t="shared" si="2"/>
        <v>41</v>
      </c>
      <c r="J4" s="50">
        <f t="shared" si="2"/>
        <v>25</v>
      </c>
      <c r="K4" s="50">
        <f t="shared" si="2"/>
        <v>49</v>
      </c>
      <c r="L4" s="50">
        <f t="shared" si="2"/>
        <v>33</v>
      </c>
      <c r="M4" s="50">
        <f t="shared" si="2"/>
        <v>57</v>
      </c>
      <c r="N4" s="50">
        <f t="shared" si="2"/>
        <v>41</v>
      </c>
    </row>
    <row r="5" spans="1:14" ht="30" x14ac:dyDescent="0.25">
      <c r="A5" s="10" t="s">
        <v>10</v>
      </c>
      <c r="B5" s="16" t="s">
        <v>25</v>
      </c>
      <c r="C5" s="11">
        <v>4</v>
      </c>
      <c r="D5" s="49" t="s">
        <v>26</v>
      </c>
      <c r="E5" s="50">
        <f>E4+E2</f>
        <v>30</v>
      </c>
      <c r="F5" s="50">
        <f t="shared" ref="F5:N5" si="3">F4+F2</f>
        <v>22</v>
      </c>
      <c r="G5" s="50">
        <f t="shared" si="3"/>
        <v>45</v>
      </c>
      <c r="H5" s="50">
        <f t="shared" si="3"/>
        <v>25</v>
      </c>
      <c r="I5" s="50">
        <f t="shared" si="3"/>
        <v>55</v>
      </c>
      <c r="J5" s="50">
        <f t="shared" si="3"/>
        <v>35</v>
      </c>
      <c r="K5" s="50">
        <f t="shared" si="3"/>
        <v>65</v>
      </c>
      <c r="L5" s="50">
        <f t="shared" si="3"/>
        <v>45</v>
      </c>
      <c r="M5" s="50">
        <f t="shared" si="3"/>
        <v>75</v>
      </c>
      <c r="N5" s="50">
        <f t="shared" si="3"/>
        <v>55</v>
      </c>
    </row>
    <row r="6" spans="1:14" ht="30" x14ac:dyDescent="0.25">
      <c r="A6" s="10" t="s">
        <v>10</v>
      </c>
      <c r="B6" s="16" t="s">
        <v>25</v>
      </c>
      <c r="C6" s="11">
        <v>5</v>
      </c>
      <c r="D6" s="49" t="s">
        <v>27</v>
      </c>
      <c r="E6" s="50">
        <f>E3-E2</f>
        <v>16</v>
      </c>
      <c r="F6" s="50">
        <f t="shared" ref="F6:N6" si="4">F3-F2</f>
        <v>14</v>
      </c>
      <c r="G6" s="50">
        <f t="shared" si="4"/>
        <v>25</v>
      </c>
      <c r="H6" s="50">
        <f t="shared" si="4"/>
        <v>13</v>
      </c>
      <c r="I6" s="50">
        <f t="shared" si="4"/>
        <v>31</v>
      </c>
      <c r="J6" s="50">
        <f t="shared" si="4"/>
        <v>19</v>
      </c>
      <c r="K6" s="50">
        <f t="shared" si="4"/>
        <v>37</v>
      </c>
      <c r="L6" s="50">
        <f t="shared" si="4"/>
        <v>25</v>
      </c>
      <c r="M6" s="50">
        <f t="shared" si="4"/>
        <v>43</v>
      </c>
      <c r="N6" s="50">
        <f t="shared" si="4"/>
        <v>31</v>
      </c>
    </row>
    <row r="7" spans="1:14" ht="30" x14ac:dyDescent="0.25">
      <c r="A7" s="10" t="s">
        <v>10</v>
      </c>
      <c r="B7" s="16" t="s">
        <v>25</v>
      </c>
      <c r="C7" s="11">
        <v>6</v>
      </c>
      <c r="D7" s="52" t="s">
        <v>28</v>
      </c>
      <c r="E7" s="53">
        <v>4.8031375826926214E-3</v>
      </c>
      <c r="F7" s="53">
        <v>8.7193281677625262E-3</v>
      </c>
      <c r="G7" s="53">
        <v>7.4711613173151642E-3</v>
      </c>
      <c r="H7" s="53">
        <v>5.6752950073621173E-3</v>
      </c>
      <c r="I7" s="53">
        <v>2.6774451533366087E-3</v>
      </c>
      <c r="J7" s="53">
        <v>4.1586614887948303E-3</v>
      </c>
      <c r="K7" s="53">
        <v>2.266746315247095E-3</v>
      </c>
      <c r="L7" s="53">
        <v>3.2641836112605347E-3</v>
      </c>
      <c r="M7" s="53">
        <v>1.9633280529890566E-3</v>
      </c>
      <c r="N7" s="54">
        <v>2.67881429576877E-3</v>
      </c>
    </row>
    <row r="8" spans="1:14" x14ac:dyDescent="0.25">
      <c r="A8" s="10"/>
      <c r="B8" s="16"/>
      <c r="C8" s="13"/>
      <c r="D8" s="12"/>
    </row>
    <row r="9" spans="1:14" x14ac:dyDescent="0.25">
      <c r="A9" s="13"/>
      <c r="B9" s="13"/>
      <c r="C9" s="13"/>
      <c r="D9" s="12"/>
    </row>
  </sheetData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/>
  <dimension ref="A1:N7"/>
  <sheetViews>
    <sheetView topLeftCell="D1" zoomScale="70" zoomScaleNormal="70" workbookViewId="0">
      <selection activeCell="O24" sqref="O24"/>
    </sheetView>
  </sheetViews>
  <sheetFormatPr baseColWidth="10" defaultRowHeight="15" outlineLevelCol="1" x14ac:dyDescent="0.25"/>
  <cols>
    <col min="1" max="1" width="13" hidden="1" customWidth="1" outlineLevel="1"/>
    <col min="2" max="2" width="9.28515625" hidden="1" customWidth="1" outlineLevel="1"/>
    <col min="3" max="3" width="13" hidden="1" customWidth="1" outlineLevel="1"/>
    <col min="4" max="4" width="53.7109375" customWidth="1" collapsed="1"/>
  </cols>
  <sheetData>
    <row r="1" spans="1:14" x14ac:dyDescent="0.25">
      <c r="A1" s="8"/>
      <c r="B1" s="8"/>
      <c r="C1" s="7" t="s">
        <v>12</v>
      </c>
      <c r="D1" s="18" t="s">
        <v>9</v>
      </c>
      <c r="E1" s="19">
        <f>MEMO!B6-2</f>
        <v>2015</v>
      </c>
      <c r="F1" s="20">
        <f>E1+1</f>
        <v>2016</v>
      </c>
      <c r="G1" s="20">
        <f t="shared" ref="G1:N1" si="0">F1+1</f>
        <v>2017</v>
      </c>
      <c r="H1" s="20">
        <f t="shared" si="0"/>
        <v>2018</v>
      </c>
      <c r="I1" s="20">
        <f t="shared" si="0"/>
        <v>2019</v>
      </c>
      <c r="J1" s="20">
        <f t="shared" si="0"/>
        <v>2020</v>
      </c>
      <c r="K1" s="20">
        <f t="shared" si="0"/>
        <v>2021</v>
      </c>
      <c r="L1" s="20">
        <f t="shared" si="0"/>
        <v>2022</v>
      </c>
      <c r="M1" s="20">
        <f t="shared" si="0"/>
        <v>2023</v>
      </c>
      <c r="N1" s="20">
        <f t="shared" si="0"/>
        <v>2024</v>
      </c>
    </row>
    <row r="2" spans="1:14" x14ac:dyDescent="0.25">
      <c r="A2" s="10" t="s">
        <v>10</v>
      </c>
      <c r="B2" s="13" t="s">
        <v>15</v>
      </c>
      <c r="C2" s="11">
        <v>1</v>
      </c>
      <c r="D2" s="48" t="s">
        <v>29</v>
      </c>
      <c r="E2" s="23">
        <v>25</v>
      </c>
      <c r="F2" s="23">
        <v>20</v>
      </c>
      <c r="G2" s="23">
        <v>37</v>
      </c>
      <c r="H2" s="23">
        <v>21</v>
      </c>
      <c r="I2" s="23">
        <v>45</v>
      </c>
      <c r="J2" s="23">
        <v>29</v>
      </c>
      <c r="K2" s="23">
        <v>53</v>
      </c>
      <c r="L2" s="23">
        <v>37</v>
      </c>
      <c r="M2" s="23">
        <v>61</v>
      </c>
      <c r="N2" s="24">
        <v>45</v>
      </c>
    </row>
    <row r="3" spans="1:14" ht="30" x14ac:dyDescent="0.25">
      <c r="A3" s="10" t="s">
        <v>10</v>
      </c>
      <c r="B3" s="13" t="s">
        <v>15</v>
      </c>
      <c r="C3" s="11">
        <v>2</v>
      </c>
      <c r="D3" s="55" t="s">
        <v>30</v>
      </c>
      <c r="E3" s="50">
        <v>25</v>
      </c>
      <c r="F3" s="50">
        <v>20</v>
      </c>
      <c r="G3" s="50">
        <v>37</v>
      </c>
      <c r="H3" s="50">
        <v>21</v>
      </c>
      <c r="I3" s="50">
        <v>45</v>
      </c>
      <c r="J3" s="50">
        <v>29</v>
      </c>
      <c r="K3" s="50">
        <v>53</v>
      </c>
      <c r="L3" s="50">
        <v>37</v>
      </c>
      <c r="M3" s="50">
        <v>61</v>
      </c>
      <c r="N3" s="51">
        <v>45</v>
      </c>
    </row>
    <row r="4" spans="1:14" x14ac:dyDescent="0.25">
      <c r="A4" s="10" t="s">
        <v>10</v>
      </c>
      <c r="B4" s="13" t="s">
        <v>15</v>
      </c>
      <c r="C4" s="11">
        <v>3</v>
      </c>
      <c r="D4" s="55" t="s">
        <v>31</v>
      </c>
      <c r="E4" s="56">
        <v>0.25714285714285712</v>
      </c>
      <c r="F4" s="56">
        <v>0.17142857142857143</v>
      </c>
      <c r="G4" s="56">
        <v>0.34285714285714286</v>
      </c>
      <c r="H4" s="56">
        <v>0.22857142857142856</v>
      </c>
      <c r="I4" s="56">
        <v>0.4</v>
      </c>
      <c r="J4" s="56">
        <v>0.2857142857142857</v>
      </c>
      <c r="K4" s="56">
        <v>0.45714285714285713</v>
      </c>
      <c r="L4" s="56">
        <v>0.34285714285714286</v>
      </c>
      <c r="M4" s="56">
        <v>0.51428571428571423</v>
      </c>
      <c r="N4" s="57">
        <v>0.4</v>
      </c>
    </row>
    <row r="5" spans="1:14" x14ac:dyDescent="0.25">
      <c r="A5" s="10" t="s">
        <v>10</v>
      </c>
      <c r="B5" s="13" t="s">
        <v>15</v>
      </c>
      <c r="C5" s="11">
        <v>3</v>
      </c>
      <c r="D5" s="55" t="s">
        <v>32</v>
      </c>
      <c r="E5" s="56">
        <v>9.6428571428571419E-2</v>
      </c>
      <c r="F5" s="56">
        <v>6.4285714285714279E-2</v>
      </c>
      <c r="G5" s="56">
        <v>0.12857142857142856</v>
      </c>
      <c r="H5" s="56">
        <v>8.5714285714285715E-2</v>
      </c>
      <c r="I5" s="56">
        <v>0.15000000000000002</v>
      </c>
      <c r="J5" s="56">
        <v>0.10714285714285714</v>
      </c>
      <c r="K5" s="56">
        <v>0.17142857142857143</v>
      </c>
      <c r="L5" s="56">
        <v>0.12857142857142856</v>
      </c>
      <c r="M5" s="56">
        <v>0.19285714285714284</v>
      </c>
      <c r="N5" s="57">
        <v>0.15000000000000002</v>
      </c>
    </row>
    <row r="6" spans="1:14" ht="30" x14ac:dyDescent="0.25">
      <c r="A6" s="10" t="s">
        <v>10</v>
      </c>
      <c r="B6" s="13" t="s">
        <v>15</v>
      </c>
      <c r="C6" s="11">
        <v>3</v>
      </c>
      <c r="D6" s="55" t="s">
        <v>51</v>
      </c>
      <c r="E6" s="39">
        <v>0.35357142857142854</v>
      </c>
      <c r="F6" s="39">
        <v>0.23571428571428571</v>
      </c>
      <c r="G6" s="39">
        <v>0.47142857142857142</v>
      </c>
      <c r="H6" s="39">
        <v>0.31428571428571428</v>
      </c>
      <c r="I6" s="39">
        <v>0.55000000000000004</v>
      </c>
      <c r="J6" s="39">
        <v>0.39285714285714285</v>
      </c>
      <c r="K6" s="39">
        <v>0.62857142857142856</v>
      </c>
      <c r="L6" s="39">
        <v>0.47142857142857142</v>
      </c>
      <c r="M6" s="39">
        <v>0.70714285714285707</v>
      </c>
      <c r="N6" s="40">
        <v>0.55000000000000004</v>
      </c>
    </row>
    <row r="7" spans="1:14" x14ac:dyDescent="0.25">
      <c r="A7" s="10" t="s">
        <v>10</v>
      </c>
      <c r="B7" s="13" t="s">
        <v>15</v>
      </c>
      <c r="C7" s="11">
        <v>4</v>
      </c>
      <c r="D7" s="58" t="s">
        <v>52</v>
      </c>
      <c r="E7" s="59">
        <f>E6+E5</f>
        <v>0.44999999999999996</v>
      </c>
      <c r="F7" s="59">
        <f t="shared" ref="F7:N7" si="1">F6+F5</f>
        <v>0.3</v>
      </c>
      <c r="G7" s="59">
        <f t="shared" si="1"/>
        <v>0.6</v>
      </c>
      <c r="H7" s="59">
        <f t="shared" si="1"/>
        <v>0.4</v>
      </c>
      <c r="I7" s="59">
        <f t="shared" si="1"/>
        <v>0.70000000000000007</v>
      </c>
      <c r="J7" s="59">
        <f t="shared" si="1"/>
        <v>0.5</v>
      </c>
      <c r="K7" s="59">
        <f t="shared" si="1"/>
        <v>0.8</v>
      </c>
      <c r="L7" s="59">
        <f t="shared" si="1"/>
        <v>0.6</v>
      </c>
      <c r="M7" s="59">
        <f t="shared" si="1"/>
        <v>0.89999999999999991</v>
      </c>
      <c r="N7" s="59">
        <f t="shared" si="1"/>
        <v>0.70000000000000007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2</vt:i4>
      </vt:variant>
    </vt:vector>
  </HeadingPairs>
  <TitlesOfParts>
    <vt:vector size="15" baseType="lpstr">
      <vt:lpstr>MEMO</vt:lpstr>
      <vt:lpstr>Divers</vt:lpstr>
      <vt:lpstr>2emePARTIE</vt:lpstr>
      <vt:lpstr>1_PerfAchats</vt:lpstr>
      <vt:lpstr>2_Gouvernance</vt:lpstr>
      <vt:lpstr>3_ProcessusAchats</vt:lpstr>
      <vt:lpstr>4_Mutualisation</vt:lpstr>
      <vt:lpstr>5_RH</vt:lpstr>
      <vt:lpstr>6_Satisfaction</vt:lpstr>
      <vt:lpstr>7_Qualitatif</vt:lpstr>
      <vt:lpstr>8_Directoire</vt:lpstr>
      <vt:lpstr>9_PHARE</vt:lpstr>
      <vt:lpstr>10_PolitiqueAchat</vt:lpstr>
      <vt:lpstr>ObjTx_PeriTraitable</vt:lpstr>
      <vt:lpstr>ObjTx_PeriTraite</vt:lpstr>
    </vt:vector>
  </TitlesOfParts>
  <Company>PARME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IAD</dc:creator>
  <cp:lastModifiedBy>raphael.ruano</cp:lastModifiedBy>
  <cp:lastPrinted>2016-08-22T13:11:20Z</cp:lastPrinted>
  <dcterms:created xsi:type="dcterms:W3CDTF">2016-08-19T12:00:57Z</dcterms:created>
  <dcterms:modified xsi:type="dcterms:W3CDTF">2017-05-02T14:36:28Z</dcterms:modified>
</cp:coreProperties>
</file>